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8_{CF05E413-F086-4AE1-B04E-D3DEBD24B48F}" xr6:coauthVersionLast="47" xr6:coauthVersionMax="47" xr10:uidLastSave="{00000000-0000-0000-0000-000000000000}"/>
  <bookViews>
    <workbookView xWindow="-57720" yWindow="-120" windowWidth="29040" windowHeight="15720" tabRatio="849" xr2:uid="{00000000-000D-0000-FFFF-FFFF00000000}"/>
  </bookViews>
  <sheets>
    <sheet name="Part B Drug Prices" sheetId="8" r:id="rId1"/>
    <sheet name="Part D Drug Prices" sheetId="9" r:id="rId2"/>
    <sheet name="Special Cases" sheetId="4" r:id="rId3"/>
    <sheet name="CAR-T therapies, etc" sheetId="24" r:id="rId4"/>
    <sheet name="ASP 2016Q1" sheetId="20" r:id="rId5"/>
    <sheet name="ASP 2016Q3" sheetId="21" r:id="rId6"/>
    <sheet name="ASP 2017Q1" sheetId="19" r:id="rId7"/>
    <sheet name="ASP 2017Q3" sheetId="17" r:id="rId8"/>
    <sheet name="ASP 2018Q1" sheetId="23" r:id="rId9"/>
    <sheet name="ASP 2018Q3" sheetId="22" r:id="rId10"/>
    <sheet name="ASP 2019Q1" sheetId="10" r:id="rId11"/>
    <sheet name="ASP 2019Q3" sheetId="2" r:id="rId12"/>
    <sheet name="ASP 2020Q1" sheetId="5" r:id="rId13"/>
    <sheet name="ASP 2020Q3" sheetId="6" r:id="rId14"/>
    <sheet name="ASP 2021Q1" sheetId="11" r:id="rId15"/>
    <sheet name="ASP 2021Q3" sheetId="12" r:id="rId16"/>
    <sheet name="ASP 2022Q1" sheetId="13" r:id="rId17"/>
    <sheet name="ASP 2022Q3" sheetId="15" r:id="rId18"/>
    <sheet name="ASP 2023Q1" sheetId="16" r:id="rId19"/>
  </sheets>
  <definedNames>
    <definedName name="_xlnm._FilterDatabase" localSheetId="4" hidden="1">'ASP 2016Q1'!$D$2:$D$513</definedName>
    <definedName name="_xlnm._FilterDatabase" localSheetId="5" hidden="1">'ASP 2016Q3'!$D$2:$D$512</definedName>
    <definedName name="_xlnm.Print_Titles" localSheetId="4">'ASP 2016Q1'!#REF!</definedName>
    <definedName name="_xlnm.Print_Titles" localSheetId="5">'ASP 2016Q3'!#REF!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5" i="8" l="1"/>
  <c r="F125" i="8" s="1"/>
  <c r="J125" i="8"/>
  <c r="K125" i="8" s="1"/>
  <c r="O125" i="8"/>
  <c r="P125" i="8" s="1"/>
  <c r="T125" i="8"/>
  <c r="U125" i="8" s="1"/>
  <c r="Z125" i="8"/>
  <c r="AE125" i="8"/>
  <c r="AK125" i="8"/>
  <c r="AL125" i="8" s="1"/>
  <c r="AP125" i="8"/>
  <c r="AQ125" i="8" s="1"/>
  <c r="AU125" i="8"/>
  <c r="AV125" i="8" s="1"/>
  <c r="AZ125" i="8"/>
  <c r="BA125" i="8" s="1"/>
  <c r="BE125" i="8"/>
  <c r="BF125" i="8" s="1"/>
  <c r="BJ125" i="8"/>
  <c r="BK125" i="8" s="1"/>
  <c r="BO125" i="8"/>
  <c r="BP125" i="8" s="1"/>
  <c r="BU125" i="8"/>
  <c r="Y5" i="24"/>
  <c r="Y6" i="24"/>
  <c r="Y7" i="24"/>
  <c r="Y8" i="24"/>
  <c r="Y9" i="24"/>
  <c r="S5" i="24"/>
  <c r="S6" i="24"/>
  <c r="S7" i="24"/>
  <c r="S8" i="24"/>
  <c r="S9" i="24"/>
  <c r="M5" i="24"/>
  <c r="M6" i="24"/>
  <c r="M7" i="24"/>
  <c r="M8" i="24"/>
  <c r="M9" i="24"/>
  <c r="G5" i="24"/>
  <c r="G6" i="24"/>
  <c r="G7" i="24"/>
  <c r="G8" i="24"/>
  <c r="G9" i="24"/>
  <c r="AE8" i="24" l="1"/>
  <c r="AE9" i="24"/>
  <c r="AK8" i="24"/>
  <c r="AK9" i="24"/>
  <c r="AQ8" i="24"/>
  <c r="AQ9" i="24"/>
  <c r="AW8" i="24"/>
  <c r="AW9" i="24"/>
  <c r="BC8" i="24"/>
  <c r="BC9" i="24"/>
  <c r="BI8" i="24"/>
  <c r="BI9" i="24"/>
  <c r="BO8" i="24"/>
  <c r="BO9" i="24"/>
  <c r="BU8" i="24"/>
  <c r="BU9" i="24"/>
  <c r="CA8" i="24"/>
  <c r="CA9" i="24"/>
  <c r="CG8" i="24"/>
  <c r="CG9" i="24"/>
  <c r="CM8" i="24"/>
  <c r="CM9" i="24"/>
  <c r="CS8" i="24"/>
  <c r="CS9" i="24"/>
  <c r="CS2" i="24"/>
  <c r="CS3" i="24"/>
  <c r="CS5" i="24"/>
  <c r="CS6" i="24"/>
  <c r="CS7" i="24"/>
  <c r="CM2" i="24"/>
  <c r="CM3" i="24"/>
  <c r="CM6" i="24"/>
  <c r="CG2" i="24"/>
  <c r="CG3" i="24"/>
  <c r="CG6" i="24"/>
  <c r="CA2" i="24"/>
  <c r="CA3" i="24"/>
  <c r="CA6" i="24"/>
  <c r="BU2" i="24"/>
  <c r="BU3" i="24"/>
  <c r="BU6" i="24"/>
  <c r="BO2" i="24"/>
  <c r="BO3" i="24"/>
  <c r="BO5" i="24"/>
  <c r="BO6" i="24"/>
  <c r="BO7" i="24"/>
  <c r="BI2" i="24"/>
  <c r="BI3" i="24"/>
  <c r="BI5" i="24"/>
  <c r="BI6" i="24"/>
  <c r="BI7" i="24"/>
  <c r="BC2" i="24"/>
  <c r="BC3" i="24"/>
  <c r="BC5" i="24"/>
  <c r="BC6" i="24"/>
  <c r="BC7" i="24"/>
  <c r="AW2" i="24"/>
  <c r="AW3" i="24"/>
  <c r="AW5" i="24"/>
  <c r="AW6" i="24"/>
  <c r="AW7" i="24"/>
  <c r="AQ2" i="24"/>
  <c r="AQ3" i="24"/>
  <c r="AQ5" i="24"/>
  <c r="AQ6" i="24"/>
  <c r="AQ7" i="24"/>
  <c r="AK2" i="24"/>
  <c r="AK3" i="24"/>
  <c r="AK5" i="24"/>
  <c r="AK6" i="24"/>
  <c r="AK7" i="24"/>
  <c r="AE2" i="24"/>
  <c r="AE3" i="24"/>
  <c r="AE5" i="24"/>
  <c r="AE6" i="24"/>
  <c r="AE7" i="24"/>
  <c r="BT103" i="8"/>
  <c r="BU103" i="8" s="1"/>
  <c r="E103" i="8"/>
  <c r="F103" i="8" s="1"/>
  <c r="J103" i="8"/>
  <c r="K103" i="8" s="1"/>
  <c r="O103" i="8"/>
  <c r="P103" i="8" s="1"/>
  <c r="T103" i="8"/>
  <c r="U103" i="8" s="1"/>
  <c r="Z103" i="8"/>
  <c r="AE103" i="8"/>
  <c r="AK103" i="8"/>
  <c r="AL103" i="8" s="1"/>
  <c r="AP103" i="8"/>
  <c r="AQ103" i="8" s="1"/>
  <c r="AU103" i="8"/>
  <c r="AV103" i="8" s="1"/>
  <c r="AZ103" i="8"/>
  <c r="BA103" i="8" s="1"/>
  <c r="BE103" i="8"/>
  <c r="BF103" i="8" s="1"/>
  <c r="BJ103" i="8"/>
  <c r="BK103" i="8" s="1"/>
  <c r="BO103" i="8"/>
  <c r="BP103" i="8" s="1"/>
  <c r="BZ112" i="9" l="1"/>
  <c r="BZ110" i="9"/>
  <c r="CL7" i="24"/>
  <c r="CM7" i="24" s="1"/>
  <c r="CF7" i="24"/>
  <c r="CG7" i="24" s="1"/>
  <c r="BZ7" i="24"/>
  <c r="CA7" i="24" s="1"/>
  <c r="BT7" i="24"/>
  <c r="BU7" i="24" s="1"/>
  <c r="CL5" i="24"/>
  <c r="CM5" i="24" s="1"/>
  <c r="CF5" i="24"/>
  <c r="CG5" i="24" s="1"/>
  <c r="BZ5" i="24"/>
  <c r="CA5" i="24" s="1"/>
  <c r="BT5" i="24"/>
  <c r="BU5" i="24" s="1"/>
  <c r="F113" i="9"/>
  <c r="L113" i="9"/>
  <c r="R113" i="9"/>
  <c r="X113" i="9"/>
  <c r="AD113" i="9"/>
  <c r="AJ113" i="9"/>
  <c r="AP113" i="9"/>
  <c r="AV113" i="9"/>
  <c r="BB113" i="9"/>
  <c r="BH113" i="9"/>
  <c r="BN113" i="9"/>
  <c r="BT113" i="9"/>
  <c r="BZ113" i="9"/>
  <c r="CF113" i="9"/>
  <c r="CL113" i="9"/>
  <c r="BZ108" i="9" l="1"/>
  <c r="F112" i="9"/>
  <c r="L112" i="9"/>
  <c r="R112" i="9"/>
  <c r="X112" i="9"/>
  <c r="AD112" i="9"/>
  <c r="AJ112" i="9"/>
  <c r="AP112" i="9"/>
  <c r="AV112" i="9"/>
  <c r="BB112" i="9"/>
  <c r="BH112" i="9"/>
  <c r="BN112" i="9"/>
  <c r="BT112" i="9"/>
  <c r="CF112" i="9"/>
  <c r="CL112" i="9"/>
  <c r="F111" i="9"/>
  <c r="L111" i="9"/>
  <c r="R111" i="9"/>
  <c r="X111" i="9"/>
  <c r="AD111" i="9"/>
  <c r="AJ111" i="9"/>
  <c r="AP111" i="9"/>
  <c r="AV111" i="9"/>
  <c r="BB111" i="9"/>
  <c r="BH111" i="9"/>
  <c r="BN111" i="9"/>
  <c r="BT111" i="9"/>
  <c r="BZ111" i="9"/>
  <c r="CF111" i="9"/>
  <c r="CL111" i="9"/>
  <c r="F110" i="9"/>
  <c r="L110" i="9"/>
  <c r="R110" i="9"/>
  <c r="X110" i="9"/>
  <c r="AD110" i="9"/>
  <c r="AJ110" i="9"/>
  <c r="AP110" i="9"/>
  <c r="AV110" i="9"/>
  <c r="BB110" i="9"/>
  <c r="BH110" i="9"/>
  <c r="BN110" i="9"/>
  <c r="BT110" i="9"/>
  <c r="CF110" i="9"/>
  <c r="CL110" i="9"/>
  <c r="F109" i="9" l="1"/>
  <c r="L109" i="9"/>
  <c r="R109" i="9"/>
  <c r="X109" i="9"/>
  <c r="AD109" i="9"/>
  <c r="AJ109" i="9"/>
  <c r="AP109" i="9"/>
  <c r="AV109" i="9"/>
  <c r="BB109" i="9"/>
  <c r="BH109" i="9"/>
  <c r="BN109" i="9"/>
  <c r="BT109" i="9"/>
  <c r="BZ109" i="9"/>
  <c r="CF109" i="9"/>
  <c r="CL109" i="9"/>
  <c r="E14" i="8"/>
  <c r="F14" i="8" s="1"/>
  <c r="J14" i="8"/>
  <c r="K14" i="8" s="1"/>
  <c r="O14" i="8"/>
  <c r="P14" i="8" s="1"/>
  <c r="T14" i="8"/>
  <c r="U14" i="8" s="1"/>
  <c r="Z14" i="8"/>
  <c r="AE14" i="8"/>
  <c r="AK14" i="8"/>
  <c r="AL14" i="8" s="1"/>
  <c r="AP14" i="8"/>
  <c r="AQ14" i="8" s="1"/>
  <c r="AU14" i="8"/>
  <c r="AV14" i="8" s="1"/>
  <c r="AZ14" i="8"/>
  <c r="BA14" i="8" s="1"/>
  <c r="BE14" i="8"/>
  <c r="BF14" i="8" s="1"/>
  <c r="BJ14" i="8"/>
  <c r="BK14" i="8" s="1"/>
  <c r="BO14" i="8"/>
  <c r="BP14" i="8" s="1"/>
  <c r="BU14" i="8"/>
  <c r="E46" i="8"/>
  <c r="F46" i="8" s="1"/>
  <c r="J46" i="8"/>
  <c r="K46" i="8" s="1"/>
  <c r="O46" i="8"/>
  <c r="P46" i="8" s="1"/>
  <c r="T46" i="8"/>
  <c r="U46" i="8" s="1"/>
  <c r="Z46" i="8"/>
  <c r="AE46" i="8"/>
  <c r="AK46" i="8"/>
  <c r="AL46" i="8" s="1"/>
  <c r="AP46" i="8"/>
  <c r="AQ46" i="8" s="1"/>
  <c r="AU46" i="8"/>
  <c r="AV46" i="8" s="1"/>
  <c r="AZ46" i="8"/>
  <c r="BA46" i="8" s="1"/>
  <c r="BE46" i="8"/>
  <c r="BF46" i="8" s="1"/>
  <c r="BJ46" i="8"/>
  <c r="BK46" i="8" s="1"/>
  <c r="BO46" i="8"/>
  <c r="BP46" i="8" s="1"/>
  <c r="BU46" i="8"/>
  <c r="E13" i="8"/>
  <c r="F13" i="8" s="1"/>
  <c r="J13" i="8"/>
  <c r="K13" i="8" s="1"/>
  <c r="O13" i="8"/>
  <c r="P13" i="8" s="1"/>
  <c r="T13" i="8"/>
  <c r="U13" i="8" s="1"/>
  <c r="Z13" i="8"/>
  <c r="AE13" i="8"/>
  <c r="AK13" i="8"/>
  <c r="AL13" i="8" s="1"/>
  <c r="AP13" i="8"/>
  <c r="AQ13" i="8" s="1"/>
  <c r="AU13" i="8"/>
  <c r="AV13" i="8" s="1"/>
  <c r="AZ13" i="8"/>
  <c r="BA13" i="8" s="1"/>
  <c r="BE13" i="8"/>
  <c r="BF13" i="8" s="1"/>
  <c r="BJ13" i="8"/>
  <c r="BK13" i="8" s="1"/>
  <c r="BO13" i="8"/>
  <c r="BP13" i="8" s="1"/>
  <c r="BU13" i="8"/>
  <c r="E51" i="8"/>
  <c r="F51" i="8" s="1"/>
  <c r="J51" i="8"/>
  <c r="K51" i="8" s="1"/>
  <c r="O51" i="8"/>
  <c r="P51" i="8" s="1"/>
  <c r="T51" i="8"/>
  <c r="U51" i="8" s="1"/>
  <c r="Z51" i="8"/>
  <c r="AE51" i="8"/>
  <c r="AK51" i="8"/>
  <c r="AL51" i="8" s="1"/>
  <c r="AP51" i="8"/>
  <c r="AQ51" i="8" s="1"/>
  <c r="AU51" i="8"/>
  <c r="AV51" i="8" s="1"/>
  <c r="AZ51" i="8"/>
  <c r="BA51" i="8" s="1"/>
  <c r="BE51" i="8"/>
  <c r="BF51" i="8" s="1"/>
  <c r="BJ51" i="8"/>
  <c r="BK51" i="8" s="1"/>
  <c r="BO51" i="8"/>
  <c r="BP51" i="8" s="1"/>
  <c r="BU51" i="8"/>
  <c r="F108" i="9"/>
  <c r="L108" i="9"/>
  <c r="R108" i="9"/>
  <c r="X108" i="9"/>
  <c r="AD108" i="9"/>
  <c r="AJ108" i="9"/>
  <c r="AP108" i="9"/>
  <c r="AV108" i="9"/>
  <c r="BB108" i="9"/>
  <c r="BH108" i="9"/>
  <c r="BN108" i="9"/>
  <c r="BT108" i="9"/>
  <c r="CF108" i="9"/>
  <c r="CL108" i="9"/>
  <c r="E156" i="8"/>
  <c r="F156" i="8" s="1"/>
  <c r="J156" i="8"/>
  <c r="K156" i="8" s="1"/>
  <c r="O156" i="8"/>
  <c r="P156" i="8" s="1"/>
  <c r="T156" i="8"/>
  <c r="U156" i="8" s="1"/>
  <c r="Z156" i="8"/>
  <c r="AE156" i="8"/>
  <c r="AK156" i="8"/>
  <c r="AL156" i="8" s="1"/>
  <c r="AP156" i="8"/>
  <c r="AQ156" i="8" s="1"/>
  <c r="AU156" i="8"/>
  <c r="AV156" i="8" s="1"/>
  <c r="AZ156" i="8"/>
  <c r="BA156" i="8" s="1"/>
  <c r="BE156" i="8"/>
  <c r="BF156" i="8" s="1"/>
  <c r="BJ156" i="8"/>
  <c r="BK156" i="8" s="1"/>
  <c r="BO156" i="8"/>
  <c r="BP156" i="8" s="1"/>
  <c r="BU156" i="8"/>
  <c r="F107" i="9" l="1"/>
  <c r="L107" i="9"/>
  <c r="R107" i="9"/>
  <c r="X107" i="9"/>
  <c r="AD107" i="9"/>
  <c r="AJ107" i="9"/>
  <c r="AP107" i="9"/>
  <c r="AV107" i="9"/>
  <c r="BB107" i="9"/>
  <c r="BH107" i="9"/>
  <c r="BN107" i="9"/>
  <c r="BT107" i="9"/>
  <c r="BZ107" i="9"/>
  <c r="CF107" i="9"/>
  <c r="CL107" i="9"/>
  <c r="E122" i="8"/>
  <c r="F122" i="8" s="1"/>
  <c r="J122" i="8"/>
  <c r="K122" i="8" s="1"/>
  <c r="O122" i="8"/>
  <c r="P122" i="8" s="1"/>
  <c r="T122" i="8"/>
  <c r="U122" i="8" s="1"/>
  <c r="Z122" i="8"/>
  <c r="AE122" i="8"/>
  <c r="AK122" i="8"/>
  <c r="AL122" i="8" s="1"/>
  <c r="AP122" i="8"/>
  <c r="AQ122" i="8" s="1"/>
  <c r="AU122" i="8"/>
  <c r="AV122" i="8" s="1"/>
  <c r="AZ122" i="8"/>
  <c r="BA122" i="8" s="1"/>
  <c r="BE122" i="8"/>
  <c r="BF122" i="8" s="1"/>
  <c r="BJ122" i="8"/>
  <c r="BK122" i="8" s="1"/>
  <c r="BO122" i="8"/>
  <c r="BP122" i="8" s="1"/>
  <c r="BU122" i="8"/>
  <c r="E172" i="8"/>
  <c r="F172" i="8" s="1"/>
  <c r="J172" i="8"/>
  <c r="K172" i="8" s="1"/>
  <c r="O172" i="8"/>
  <c r="P172" i="8" s="1"/>
  <c r="T172" i="8"/>
  <c r="U172" i="8" s="1"/>
  <c r="Z172" i="8"/>
  <c r="AE172" i="8"/>
  <c r="AK172" i="8"/>
  <c r="AL172" i="8" s="1"/>
  <c r="AP172" i="8"/>
  <c r="AQ172" i="8" s="1"/>
  <c r="AU172" i="8"/>
  <c r="AV172" i="8" s="1"/>
  <c r="AZ172" i="8"/>
  <c r="BA172" i="8" s="1"/>
  <c r="BE172" i="8"/>
  <c r="BF172" i="8" s="1"/>
  <c r="BJ172" i="8"/>
  <c r="BK172" i="8" s="1"/>
  <c r="BO172" i="8"/>
  <c r="BP172" i="8" s="1"/>
  <c r="BU172" i="8"/>
  <c r="E165" i="8"/>
  <c r="F165" i="8" s="1"/>
  <c r="J165" i="8"/>
  <c r="K165" i="8" s="1"/>
  <c r="O165" i="8"/>
  <c r="P165" i="8" s="1"/>
  <c r="T165" i="8"/>
  <c r="U165" i="8" s="1"/>
  <c r="Z165" i="8"/>
  <c r="AE165" i="8"/>
  <c r="AK165" i="8"/>
  <c r="AL165" i="8" s="1"/>
  <c r="AP165" i="8"/>
  <c r="AQ165" i="8" s="1"/>
  <c r="AU165" i="8"/>
  <c r="AV165" i="8" s="1"/>
  <c r="AZ165" i="8"/>
  <c r="BA165" i="8" s="1"/>
  <c r="BE165" i="8"/>
  <c r="BF165" i="8" s="1"/>
  <c r="BJ165" i="8"/>
  <c r="BK165" i="8" s="1"/>
  <c r="BO165" i="8"/>
  <c r="BP165" i="8" s="1"/>
  <c r="BU165" i="8"/>
  <c r="AG81" i="8"/>
  <c r="E81" i="8"/>
  <c r="F81" i="8" s="1"/>
  <c r="J81" i="8"/>
  <c r="K81" i="8" s="1"/>
  <c r="O81" i="8"/>
  <c r="P81" i="8" s="1"/>
  <c r="T81" i="8"/>
  <c r="U81" i="8" s="1"/>
  <c r="Z81" i="8"/>
  <c r="AE81" i="8"/>
  <c r="AK81" i="8"/>
  <c r="AL81" i="8" s="1"/>
  <c r="AP81" i="8"/>
  <c r="AQ81" i="8" s="1"/>
  <c r="AU81" i="8"/>
  <c r="AV81" i="8" s="1"/>
  <c r="AZ81" i="8"/>
  <c r="BA81" i="8" s="1"/>
  <c r="BE81" i="8"/>
  <c r="BF81" i="8" s="1"/>
  <c r="BJ81" i="8"/>
  <c r="BK81" i="8" s="1"/>
  <c r="BO81" i="8"/>
  <c r="BP81" i="8" s="1"/>
  <c r="BU81" i="8"/>
  <c r="BT135" i="8"/>
  <c r="F104" i="9"/>
  <c r="F106" i="9"/>
  <c r="L106" i="9"/>
  <c r="R106" i="9"/>
  <c r="X106" i="9"/>
  <c r="AD106" i="9"/>
  <c r="AJ106" i="9"/>
  <c r="AP106" i="9"/>
  <c r="AV106" i="9"/>
  <c r="BB106" i="9"/>
  <c r="BH106" i="9"/>
  <c r="BN106" i="9"/>
  <c r="BT106" i="9"/>
  <c r="BZ106" i="9"/>
  <c r="CF106" i="9"/>
  <c r="CL106" i="9"/>
  <c r="F105" i="9"/>
  <c r="L105" i="9"/>
  <c r="R105" i="9"/>
  <c r="X105" i="9"/>
  <c r="AD105" i="9"/>
  <c r="AJ105" i="9"/>
  <c r="AP105" i="9"/>
  <c r="AV105" i="9"/>
  <c r="BB105" i="9"/>
  <c r="BH105" i="9"/>
  <c r="BN105" i="9"/>
  <c r="BT105" i="9"/>
  <c r="BZ105" i="9"/>
  <c r="CF105" i="9"/>
  <c r="CL105" i="9"/>
  <c r="L104" i="9"/>
  <c r="R104" i="9"/>
  <c r="X104" i="9"/>
  <c r="AD104" i="9"/>
  <c r="AJ104" i="9"/>
  <c r="AP104" i="9"/>
  <c r="AV104" i="9"/>
  <c r="BB104" i="9"/>
  <c r="BH104" i="9"/>
  <c r="BN104" i="9"/>
  <c r="BT104" i="9"/>
  <c r="BZ104" i="9"/>
  <c r="CF104" i="9"/>
  <c r="CL104" i="9"/>
  <c r="F103" i="9"/>
  <c r="L103" i="9"/>
  <c r="R103" i="9"/>
  <c r="X103" i="9"/>
  <c r="AD103" i="9"/>
  <c r="AJ103" i="9"/>
  <c r="AP103" i="9"/>
  <c r="AV103" i="9"/>
  <c r="BB103" i="9"/>
  <c r="BH103" i="9"/>
  <c r="BN103" i="9"/>
  <c r="BT103" i="9"/>
  <c r="BZ103" i="9"/>
  <c r="CF103" i="9"/>
  <c r="CL103" i="9"/>
  <c r="BY102" i="9"/>
  <c r="BZ102" i="9" s="1"/>
  <c r="F102" i="9"/>
  <c r="L102" i="9"/>
  <c r="R102" i="9"/>
  <c r="X102" i="9"/>
  <c r="AD102" i="9"/>
  <c r="AJ102" i="9"/>
  <c r="AP102" i="9"/>
  <c r="AV102" i="9"/>
  <c r="BB102" i="9"/>
  <c r="BH102" i="9"/>
  <c r="BN102" i="9"/>
  <c r="BT102" i="9"/>
  <c r="CF102" i="9"/>
  <c r="CL102" i="9"/>
  <c r="F101" i="9"/>
  <c r="L101" i="9"/>
  <c r="R101" i="9"/>
  <c r="X101" i="9"/>
  <c r="AD101" i="9"/>
  <c r="AJ101" i="9"/>
  <c r="AP101" i="9"/>
  <c r="AV101" i="9"/>
  <c r="BB101" i="9"/>
  <c r="BH101" i="9"/>
  <c r="BN101" i="9"/>
  <c r="BT101" i="9"/>
  <c r="BZ101" i="9"/>
  <c r="CF101" i="9"/>
  <c r="CL101" i="9"/>
  <c r="E6" i="8"/>
  <c r="F6" i="8" s="1"/>
  <c r="J6" i="8"/>
  <c r="K6" i="8" s="1"/>
  <c r="O6" i="8"/>
  <c r="P6" i="8" s="1"/>
  <c r="T6" i="8"/>
  <c r="U6" i="8" s="1"/>
  <c r="Z6" i="8"/>
  <c r="AE6" i="8"/>
  <c r="AK6" i="8"/>
  <c r="AL6" i="8" s="1"/>
  <c r="AP6" i="8"/>
  <c r="AQ6" i="8" s="1"/>
  <c r="AU6" i="8"/>
  <c r="AV6" i="8" s="1"/>
  <c r="AZ6" i="8"/>
  <c r="BA6" i="8" s="1"/>
  <c r="BE6" i="8"/>
  <c r="BF6" i="8" s="1"/>
  <c r="BJ6" i="8"/>
  <c r="BK6" i="8" s="1"/>
  <c r="BO6" i="8"/>
  <c r="BP6" i="8" s="1"/>
  <c r="BU6" i="8"/>
  <c r="C4" i="4"/>
  <c r="E59" i="8" l="1"/>
  <c r="F59" i="8" s="1"/>
  <c r="J59" i="8"/>
  <c r="K59" i="8" s="1"/>
  <c r="O59" i="8"/>
  <c r="P59" i="8" s="1"/>
  <c r="T59" i="8"/>
  <c r="U59" i="8" s="1"/>
  <c r="Z59" i="8"/>
  <c r="AE59" i="8"/>
  <c r="AK59" i="8"/>
  <c r="AL59" i="8" s="1"/>
  <c r="AP59" i="8"/>
  <c r="AQ59" i="8" s="1"/>
  <c r="AU59" i="8"/>
  <c r="AV59" i="8" s="1"/>
  <c r="AZ59" i="8"/>
  <c r="BA59" i="8" s="1"/>
  <c r="BE59" i="8"/>
  <c r="BF59" i="8" s="1"/>
  <c r="BJ59" i="8"/>
  <c r="BK59" i="8" s="1"/>
  <c r="BO59" i="8"/>
  <c r="BP59" i="8" s="1"/>
  <c r="BU59" i="8"/>
  <c r="Z93" i="8"/>
  <c r="AE63" i="8" l="1"/>
  <c r="BZ46" i="9"/>
  <c r="BT45" i="9"/>
  <c r="BT46" i="9"/>
  <c r="BB46" i="9"/>
  <c r="AP46" i="9"/>
  <c r="AP3" i="9"/>
  <c r="AP4" i="9"/>
  <c r="AP5" i="9"/>
  <c r="AP6" i="9"/>
  <c r="AP7" i="9"/>
  <c r="AP8" i="9"/>
  <c r="AP9" i="9"/>
  <c r="AP10" i="9"/>
  <c r="AP11" i="9"/>
  <c r="AP12" i="9"/>
  <c r="AP13" i="9"/>
  <c r="AP14" i="9"/>
  <c r="AP15" i="9"/>
  <c r="AP16" i="9"/>
  <c r="AP17" i="9"/>
  <c r="AP18" i="9"/>
  <c r="AP19" i="9"/>
  <c r="AP20" i="9"/>
  <c r="AP21" i="9"/>
  <c r="AP22" i="9"/>
  <c r="AP23" i="9"/>
  <c r="AP24" i="9"/>
  <c r="AP25" i="9"/>
  <c r="AP26" i="9"/>
  <c r="AP27" i="9"/>
  <c r="AP28" i="9"/>
  <c r="AP29" i="9"/>
  <c r="AP30" i="9"/>
  <c r="AP31" i="9"/>
  <c r="AP32" i="9"/>
  <c r="AP33" i="9"/>
  <c r="AP34" i="9"/>
  <c r="AP35" i="9"/>
  <c r="AP36" i="9"/>
  <c r="AP37" i="9"/>
  <c r="AP38" i="9"/>
  <c r="AP39" i="9"/>
  <c r="AP40" i="9"/>
  <c r="AP41" i="9"/>
  <c r="AP42" i="9"/>
  <c r="AP43" i="9"/>
  <c r="AP44" i="9"/>
  <c r="AP45" i="9"/>
  <c r="AP47" i="9"/>
  <c r="AP48" i="9"/>
  <c r="AP49" i="9"/>
  <c r="AP50" i="9"/>
  <c r="AP51" i="9"/>
  <c r="AP52" i="9"/>
  <c r="AP53" i="9"/>
  <c r="AP54" i="9"/>
  <c r="AP55" i="9"/>
  <c r="AP56" i="9"/>
  <c r="AP57" i="9"/>
  <c r="AP58" i="9"/>
  <c r="AP59" i="9"/>
  <c r="AP60" i="9"/>
  <c r="AP61" i="9"/>
  <c r="AP62" i="9"/>
  <c r="AP63" i="9"/>
  <c r="AP64" i="9"/>
  <c r="AP65" i="9"/>
  <c r="AP66" i="9"/>
  <c r="AP67" i="9"/>
  <c r="AP68" i="9"/>
  <c r="AP69" i="9"/>
  <c r="AP70" i="9"/>
  <c r="AP71" i="9"/>
  <c r="AP72" i="9"/>
  <c r="AP73" i="9"/>
  <c r="AP74" i="9"/>
  <c r="AP75" i="9"/>
  <c r="AP76" i="9"/>
  <c r="AP77" i="9"/>
  <c r="AP78" i="9"/>
  <c r="AP79" i="9"/>
  <c r="AP80" i="9"/>
  <c r="AP81" i="9"/>
  <c r="AP82" i="9"/>
  <c r="AP83" i="9"/>
  <c r="AP84" i="9"/>
  <c r="AP85" i="9"/>
  <c r="AP86" i="9"/>
  <c r="AP87" i="9"/>
  <c r="AP88" i="9"/>
  <c r="AP89" i="9"/>
  <c r="AP90" i="9"/>
  <c r="AP91" i="9"/>
  <c r="AP92" i="9"/>
  <c r="AP93" i="9"/>
  <c r="AP94" i="9"/>
  <c r="AP95" i="9"/>
  <c r="AP96" i="9"/>
  <c r="AP97" i="9"/>
  <c r="AP98" i="9"/>
  <c r="AP99" i="9"/>
  <c r="AP100" i="9"/>
  <c r="AD43" i="9"/>
  <c r="AD44" i="9"/>
  <c r="AD46" i="9"/>
  <c r="AD47" i="9"/>
  <c r="AC45" i="9"/>
  <c r="AB45" i="9"/>
  <c r="W45" i="9"/>
  <c r="V45" i="9"/>
  <c r="X45" i="9" s="1"/>
  <c r="Q45" i="9"/>
  <c r="P45" i="9"/>
  <c r="R45" i="9" s="1"/>
  <c r="J45" i="9"/>
  <c r="D45" i="9"/>
  <c r="K45" i="9"/>
  <c r="E45" i="9"/>
  <c r="AJ45" i="9"/>
  <c r="AV45" i="9"/>
  <c r="BB45" i="9"/>
  <c r="BH45" i="9"/>
  <c r="BN45" i="9"/>
  <c r="BZ45" i="9"/>
  <c r="CF45" i="9"/>
  <c r="CL45" i="9"/>
  <c r="F46" i="9"/>
  <c r="L46" i="9"/>
  <c r="R46" i="9"/>
  <c r="X46" i="9"/>
  <c r="AJ46" i="9"/>
  <c r="AV46" i="9"/>
  <c r="BH46" i="9"/>
  <c r="BN46" i="9"/>
  <c r="CF46" i="9"/>
  <c r="CL46" i="9"/>
  <c r="F47" i="9"/>
  <c r="L47" i="9"/>
  <c r="R47" i="9"/>
  <c r="W47" i="9"/>
  <c r="X47" i="9" s="1"/>
  <c r="AJ47" i="9"/>
  <c r="AV47" i="9"/>
  <c r="BB47" i="9"/>
  <c r="BH47" i="9"/>
  <c r="BN47" i="9"/>
  <c r="BT47" i="9"/>
  <c r="BZ47" i="9"/>
  <c r="CF47" i="9"/>
  <c r="CL47" i="9"/>
  <c r="AJ3" i="9"/>
  <c r="AJ4" i="9"/>
  <c r="AJ5" i="9"/>
  <c r="AJ6" i="9"/>
  <c r="AJ7" i="9"/>
  <c r="AJ8" i="9"/>
  <c r="AJ9" i="9"/>
  <c r="AJ10" i="9"/>
  <c r="AJ11" i="9"/>
  <c r="AJ12" i="9"/>
  <c r="AJ14" i="9"/>
  <c r="AJ15" i="9"/>
  <c r="AJ17" i="9"/>
  <c r="AJ18" i="9"/>
  <c r="AJ19" i="9"/>
  <c r="AJ20" i="9"/>
  <c r="AJ21" i="9"/>
  <c r="AJ22" i="9"/>
  <c r="AJ23" i="9"/>
  <c r="AJ25" i="9"/>
  <c r="AJ26" i="9"/>
  <c r="AJ29" i="9"/>
  <c r="AJ30" i="9"/>
  <c r="AJ31" i="9"/>
  <c r="AJ32" i="9"/>
  <c r="AJ35" i="9"/>
  <c r="AJ36" i="9"/>
  <c r="AJ37" i="9"/>
  <c r="AJ38" i="9"/>
  <c r="AJ40" i="9"/>
  <c r="AJ41" i="9"/>
  <c r="AJ42" i="9"/>
  <c r="AJ44" i="9"/>
  <c r="AJ48" i="9"/>
  <c r="AJ49" i="9"/>
  <c r="AJ50" i="9"/>
  <c r="AJ51" i="9"/>
  <c r="AJ52" i="9"/>
  <c r="AJ53" i="9"/>
  <c r="AJ54" i="9"/>
  <c r="AJ55" i="9"/>
  <c r="AJ56" i="9"/>
  <c r="AJ57" i="9"/>
  <c r="AJ58" i="9"/>
  <c r="AJ59" i="9"/>
  <c r="AJ60" i="9"/>
  <c r="AJ61" i="9"/>
  <c r="AJ62" i="9"/>
  <c r="AJ63" i="9"/>
  <c r="AJ64" i="9"/>
  <c r="AJ65" i="9"/>
  <c r="AJ66" i="9"/>
  <c r="AJ67" i="9"/>
  <c r="AJ68" i="9"/>
  <c r="AJ69" i="9"/>
  <c r="AJ70" i="9"/>
  <c r="AJ71" i="9"/>
  <c r="AJ72" i="9"/>
  <c r="AJ74" i="9"/>
  <c r="AJ75" i="9"/>
  <c r="AJ76" i="9"/>
  <c r="AJ77" i="9"/>
  <c r="AJ90" i="9"/>
  <c r="AJ92" i="9"/>
  <c r="AJ93" i="9"/>
  <c r="AJ99" i="9"/>
  <c r="AD3" i="9"/>
  <c r="AD4" i="9"/>
  <c r="AD5" i="9"/>
  <c r="AD6" i="9"/>
  <c r="AD7" i="9"/>
  <c r="AD8" i="9"/>
  <c r="AD9" i="9"/>
  <c r="AD10" i="9"/>
  <c r="AD11" i="9"/>
  <c r="AD12" i="9"/>
  <c r="AD14" i="9"/>
  <c r="AD15" i="9"/>
  <c r="AD17" i="9"/>
  <c r="AD18" i="9"/>
  <c r="AD19" i="9"/>
  <c r="AD20" i="9"/>
  <c r="AD21" i="9"/>
  <c r="AD22" i="9"/>
  <c r="AD23" i="9"/>
  <c r="AD25" i="9"/>
  <c r="AD26" i="9"/>
  <c r="AD29" i="9"/>
  <c r="AD30" i="9"/>
  <c r="AD31" i="9"/>
  <c r="AD32" i="9"/>
  <c r="AD35" i="9"/>
  <c r="AD36" i="9"/>
  <c r="AD37" i="9"/>
  <c r="AD38" i="9"/>
  <c r="AD40" i="9"/>
  <c r="AD41" i="9"/>
  <c r="AD42" i="9"/>
  <c r="AD48" i="9"/>
  <c r="AD49" i="9"/>
  <c r="AD50" i="9"/>
  <c r="AD51" i="9"/>
  <c r="AD52" i="9"/>
  <c r="AD53" i="9"/>
  <c r="AD54" i="9"/>
  <c r="AD55" i="9"/>
  <c r="AD56" i="9"/>
  <c r="AD57" i="9"/>
  <c r="AD58" i="9"/>
  <c r="AD59" i="9"/>
  <c r="AD60" i="9"/>
  <c r="AD61" i="9"/>
  <c r="AD62" i="9"/>
  <c r="AD63" i="9"/>
  <c r="AD64" i="9"/>
  <c r="AD65" i="9"/>
  <c r="AD66" i="9"/>
  <c r="AD67" i="9"/>
  <c r="AD68" i="9"/>
  <c r="AD69" i="9"/>
  <c r="AD70" i="9"/>
  <c r="AD71" i="9"/>
  <c r="AD72" i="9"/>
  <c r="AD74" i="9"/>
  <c r="AD75" i="9"/>
  <c r="AD76" i="9"/>
  <c r="AD77" i="9"/>
  <c r="AD90" i="9"/>
  <c r="AD92" i="9"/>
  <c r="AD93" i="9"/>
  <c r="AD99" i="9"/>
  <c r="AE60" i="8"/>
  <c r="AE57" i="8"/>
  <c r="AE56" i="8"/>
  <c r="AE110" i="8"/>
  <c r="AE67" i="8"/>
  <c r="AE66" i="8"/>
  <c r="AE26" i="8"/>
  <c r="AE130" i="8"/>
  <c r="AE3" i="8"/>
  <c r="AE162" i="8"/>
  <c r="AE82" i="8"/>
  <c r="AE136" i="8"/>
  <c r="AE84" i="8"/>
  <c r="AE83" i="8"/>
  <c r="AE170" i="8"/>
  <c r="AE68" i="8"/>
  <c r="AE28" i="8"/>
  <c r="AE34" i="8"/>
  <c r="AE10" i="8"/>
  <c r="AE40" i="8"/>
  <c r="AE118" i="8"/>
  <c r="AE98" i="8"/>
  <c r="AE137" i="8"/>
  <c r="AE138" i="8"/>
  <c r="AE11" i="8"/>
  <c r="AE121" i="8"/>
  <c r="AE149" i="8"/>
  <c r="AE55" i="8"/>
  <c r="AE148" i="8"/>
  <c r="AE154" i="8"/>
  <c r="AE117" i="8"/>
  <c r="AE25" i="8"/>
  <c r="AE100" i="8"/>
  <c r="AE52" i="8"/>
  <c r="AE77" i="8"/>
  <c r="AE76" i="8"/>
  <c r="AE32" i="8"/>
  <c r="AE134" i="8"/>
  <c r="AE96" i="8"/>
  <c r="AE128" i="8"/>
  <c r="AE164" i="8"/>
  <c r="AE106" i="8"/>
  <c r="AE15" i="8"/>
  <c r="AE92" i="8"/>
  <c r="AE95" i="8"/>
  <c r="AE47" i="8"/>
  <c r="AE157" i="8"/>
  <c r="AE91" i="8"/>
  <c r="AE12" i="8"/>
  <c r="AE18" i="8"/>
  <c r="AE39" i="8"/>
  <c r="AE150" i="8"/>
  <c r="AE123" i="8"/>
  <c r="AE21" i="8"/>
  <c r="AE145" i="8"/>
  <c r="AE109" i="8"/>
  <c r="AE69" i="8"/>
  <c r="AE23" i="8"/>
  <c r="AE44" i="8"/>
  <c r="AE158" i="8"/>
  <c r="AE101" i="8"/>
  <c r="AE160" i="8"/>
  <c r="AE161" i="8"/>
  <c r="AE99" i="8"/>
  <c r="AE29" i="8"/>
  <c r="AE22" i="8"/>
  <c r="AE49" i="8"/>
  <c r="AE64" i="8"/>
  <c r="AE70" i="8"/>
  <c r="AE30" i="8"/>
  <c r="AE168" i="8"/>
  <c r="AE94" i="8"/>
  <c r="AE153" i="8"/>
  <c r="AE107" i="8"/>
  <c r="AE112" i="8"/>
  <c r="AE75" i="8"/>
  <c r="AE4" i="8"/>
  <c r="AE124" i="8"/>
  <c r="AE139" i="8"/>
  <c r="AE9" i="8"/>
  <c r="AE116" i="8"/>
  <c r="AE115" i="8"/>
  <c r="AE108" i="8"/>
  <c r="AE155" i="8"/>
  <c r="AE20" i="8"/>
  <c r="AE167" i="8"/>
  <c r="AE113" i="8"/>
  <c r="AE173" i="8"/>
  <c r="AE140" i="8"/>
  <c r="AE43" i="8"/>
  <c r="AE45" i="8"/>
  <c r="AE78" i="8"/>
  <c r="AE24" i="8"/>
  <c r="AE33" i="8"/>
  <c r="AE5" i="8"/>
  <c r="AE90" i="8"/>
  <c r="AE50" i="8"/>
  <c r="AE48" i="8"/>
  <c r="AE74" i="8"/>
  <c r="AE143" i="8"/>
  <c r="AE102" i="8"/>
  <c r="AE35" i="8"/>
  <c r="AE129" i="8"/>
  <c r="AE144" i="8"/>
  <c r="AE54" i="8"/>
  <c r="AE36" i="8"/>
  <c r="AE61" i="8"/>
  <c r="AE105" i="8"/>
  <c r="AE62" i="8"/>
  <c r="AE41" i="8"/>
  <c r="AE42" i="8"/>
  <c r="AE71" i="8"/>
  <c r="AE72" i="8"/>
  <c r="AE111" i="8"/>
  <c r="AE27" i="8"/>
  <c r="AE131" i="8"/>
  <c r="AE19" i="8"/>
  <c r="AE37" i="8"/>
  <c r="AE135" i="8"/>
  <c r="AE86" i="8"/>
  <c r="AE163" i="8"/>
  <c r="AE8" i="8"/>
  <c r="AE120" i="8"/>
  <c r="AE151" i="8"/>
  <c r="AE7" i="8"/>
  <c r="AE79" i="8"/>
  <c r="AE80" i="8"/>
  <c r="AE147" i="8"/>
  <c r="AE88" i="8"/>
  <c r="AE127" i="8"/>
  <c r="AE114" i="8"/>
  <c r="AE146" i="8"/>
  <c r="AE87" i="8"/>
  <c r="AE126" i="8"/>
  <c r="AE132" i="8"/>
  <c r="AE89" i="8"/>
  <c r="AE53" i="8"/>
  <c r="AE174" i="8"/>
  <c r="AE133" i="8"/>
  <c r="Z60" i="8"/>
  <c r="Z57" i="8"/>
  <c r="Z56" i="8"/>
  <c r="Z110" i="8"/>
  <c r="Z67" i="8"/>
  <c r="Z66" i="8"/>
  <c r="Z26" i="8"/>
  <c r="Z130" i="8"/>
  <c r="Z3" i="8"/>
  <c r="Z162" i="8"/>
  <c r="Z82" i="8"/>
  <c r="Z136" i="8"/>
  <c r="Z84" i="8"/>
  <c r="Z83" i="8"/>
  <c r="Z170" i="8"/>
  <c r="Z68" i="8"/>
  <c r="Z28" i="8"/>
  <c r="Z34" i="8"/>
  <c r="Z10" i="8"/>
  <c r="Z40" i="8"/>
  <c r="Z118" i="8"/>
  <c r="Z98" i="8"/>
  <c r="Z137" i="8"/>
  <c r="Z138" i="8"/>
  <c r="Z11" i="8"/>
  <c r="Z121" i="8"/>
  <c r="Z149" i="8"/>
  <c r="Z55" i="8"/>
  <c r="Z148" i="8"/>
  <c r="Z154" i="8"/>
  <c r="Z117" i="8"/>
  <c r="Z25" i="8"/>
  <c r="Z100" i="8"/>
  <c r="Z52" i="8"/>
  <c r="Z77" i="8"/>
  <c r="Z76" i="8"/>
  <c r="Z32" i="8"/>
  <c r="Z134" i="8"/>
  <c r="Z96" i="8"/>
  <c r="Z128" i="8"/>
  <c r="Z164" i="8"/>
  <c r="Z106" i="8"/>
  <c r="Z15" i="8"/>
  <c r="Z92" i="8"/>
  <c r="Z95" i="8"/>
  <c r="Z47" i="8"/>
  <c r="Z157" i="8"/>
  <c r="Z91" i="8"/>
  <c r="Z12" i="8"/>
  <c r="Z18" i="8"/>
  <c r="Z39" i="8"/>
  <c r="Z150" i="8"/>
  <c r="Z123" i="8"/>
  <c r="Z21" i="8"/>
  <c r="Z145" i="8"/>
  <c r="Z109" i="8"/>
  <c r="Z69" i="8"/>
  <c r="Z23" i="8"/>
  <c r="Z44" i="8"/>
  <c r="Z158" i="8"/>
  <c r="Z101" i="8"/>
  <c r="Z160" i="8"/>
  <c r="Z161" i="8"/>
  <c r="Z99" i="8"/>
  <c r="Z29" i="8"/>
  <c r="Z22" i="8"/>
  <c r="Z49" i="8"/>
  <c r="Z64" i="8"/>
  <c r="Z70" i="8"/>
  <c r="Z30" i="8"/>
  <c r="Z168" i="8"/>
  <c r="Z94" i="8"/>
  <c r="Z153" i="8"/>
  <c r="Z107" i="8"/>
  <c r="Z112" i="8"/>
  <c r="Z75" i="8"/>
  <c r="Z4" i="8"/>
  <c r="Z124" i="8"/>
  <c r="Z139" i="8"/>
  <c r="Z9" i="8"/>
  <c r="Z116" i="8"/>
  <c r="Z115" i="8"/>
  <c r="Z108" i="8"/>
  <c r="Z155" i="8"/>
  <c r="Z20" i="8"/>
  <c r="Z167" i="8"/>
  <c r="Z113" i="8"/>
  <c r="Z173" i="8"/>
  <c r="Z140" i="8"/>
  <c r="Z43" i="8"/>
  <c r="Z45" i="8"/>
  <c r="Z78" i="8"/>
  <c r="Z24" i="8"/>
  <c r="Z33" i="8"/>
  <c r="Z5" i="8"/>
  <c r="Z90" i="8"/>
  <c r="Z50" i="8"/>
  <c r="Z48" i="8"/>
  <c r="Z74" i="8"/>
  <c r="Z143" i="8"/>
  <c r="Z102" i="8"/>
  <c r="Z35" i="8"/>
  <c r="Z129" i="8"/>
  <c r="Z144" i="8"/>
  <c r="Z54" i="8"/>
  <c r="Z36" i="8"/>
  <c r="Z61" i="8"/>
  <c r="Z105" i="8"/>
  <c r="Z62" i="8"/>
  <c r="Z41" i="8"/>
  <c r="Z42" i="8"/>
  <c r="Z71" i="8"/>
  <c r="Z72" i="8"/>
  <c r="Z111" i="8"/>
  <c r="Z27" i="8"/>
  <c r="Z131" i="8"/>
  <c r="Z19" i="8"/>
  <c r="Z37" i="8"/>
  <c r="Z135" i="8"/>
  <c r="Z86" i="8"/>
  <c r="Z163" i="8"/>
  <c r="Z8" i="8"/>
  <c r="Z120" i="8"/>
  <c r="Z151" i="8"/>
  <c r="Z7" i="8"/>
  <c r="Z79" i="8"/>
  <c r="Z80" i="8"/>
  <c r="Z147" i="8"/>
  <c r="Z88" i="8"/>
  <c r="Z127" i="8"/>
  <c r="Z114" i="8"/>
  <c r="Z146" i="8"/>
  <c r="Z87" i="8"/>
  <c r="Z126" i="8"/>
  <c r="Z132" i="8"/>
  <c r="Z89" i="8"/>
  <c r="Z53" i="8"/>
  <c r="Z174" i="8"/>
  <c r="Z133" i="8"/>
  <c r="L45" i="9" l="1"/>
  <c r="F45" i="9"/>
  <c r="AD45" i="9"/>
  <c r="R40" i="9"/>
  <c r="R41" i="9"/>
  <c r="R42" i="9"/>
  <c r="R43" i="9"/>
  <c r="R44" i="9"/>
  <c r="R48" i="9"/>
  <c r="R49" i="9"/>
  <c r="R50" i="9"/>
  <c r="R51" i="9"/>
  <c r="R52" i="9"/>
  <c r="R53" i="9"/>
  <c r="R54" i="9"/>
  <c r="E64" i="8"/>
  <c r="E49" i="8"/>
  <c r="J64" i="8"/>
  <c r="J49" i="8"/>
  <c r="E93" i="8"/>
  <c r="F93" i="8" s="1"/>
  <c r="J93" i="8"/>
  <c r="K93" i="8" s="1"/>
  <c r="O93" i="8"/>
  <c r="P93" i="8" s="1"/>
  <c r="T93" i="8"/>
  <c r="U93" i="8" s="1"/>
  <c r="AK93" i="8"/>
  <c r="AL93" i="8" s="1"/>
  <c r="AP93" i="8"/>
  <c r="AQ93" i="8" s="1"/>
  <c r="AU93" i="8"/>
  <c r="AV93" i="8" s="1"/>
  <c r="AZ93" i="8"/>
  <c r="BA93" i="8" s="1"/>
  <c r="BE93" i="8"/>
  <c r="BF93" i="8" s="1"/>
  <c r="BJ93" i="8"/>
  <c r="BK93" i="8" s="1"/>
  <c r="BO93" i="8"/>
  <c r="BP93" i="8" s="1"/>
  <c r="BU93" i="8"/>
  <c r="E169" i="8"/>
  <c r="F169" i="8" s="1"/>
  <c r="J169" i="8"/>
  <c r="K169" i="8" s="1"/>
  <c r="O169" i="8"/>
  <c r="P169" i="8" s="1"/>
  <c r="T169" i="8"/>
  <c r="U169" i="8" s="1"/>
  <c r="AK169" i="8"/>
  <c r="AL169" i="8" s="1"/>
  <c r="AP169" i="8"/>
  <c r="AQ169" i="8" s="1"/>
  <c r="AU169" i="8"/>
  <c r="AV169" i="8" s="1"/>
  <c r="AZ169" i="8"/>
  <c r="BA169" i="8" s="1"/>
  <c r="BE169" i="8"/>
  <c r="BF169" i="8" s="1"/>
  <c r="BJ169" i="8"/>
  <c r="BK169" i="8" s="1"/>
  <c r="BO169" i="8"/>
  <c r="BP169" i="8" s="1"/>
  <c r="BU169" i="8"/>
  <c r="R4" i="9"/>
  <c r="R5" i="9"/>
  <c r="R6" i="9"/>
  <c r="R7" i="9"/>
  <c r="R8" i="9"/>
  <c r="R9" i="9"/>
  <c r="R10" i="9"/>
  <c r="R11" i="9"/>
  <c r="R12" i="9"/>
  <c r="R13" i="9"/>
  <c r="R14" i="9"/>
  <c r="R15" i="9"/>
  <c r="R16" i="9"/>
  <c r="R17" i="9"/>
  <c r="R18" i="9"/>
  <c r="R19" i="9"/>
  <c r="R20" i="9"/>
  <c r="R21" i="9"/>
  <c r="R22" i="9"/>
  <c r="R23" i="9"/>
  <c r="R24" i="9"/>
  <c r="R25" i="9"/>
  <c r="R26" i="9"/>
  <c r="R27" i="9"/>
  <c r="R28" i="9"/>
  <c r="R29" i="9"/>
  <c r="R30" i="9"/>
  <c r="R31" i="9"/>
  <c r="R32" i="9"/>
  <c r="R33" i="9"/>
  <c r="R34" i="9"/>
  <c r="R35" i="9"/>
  <c r="R36" i="9"/>
  <c r="R37" i="9"/>
  <c r="R38" i="9"/>
  <c r="R39" i="9"/>
  <c r="R55" i="9"/>
  <c r="R56" i="9"/>
  <c r="R57" i="9"/>
  <c r="R58" i="9"/>
  <c r="R59" i="9"/>
  <c r="R60" i="9"/>
  <c r="R61" i="9"/>
  <c r="R62" i="9"/>
  <c r="R63" i="9"/>
  <c r="R64" i="9"/>
  <c r="R65" i="9"/>
  <c r="R66" i="9"/>
  <c r="R67" i="9"/>
  <c r="R68" i="9"/>
  <c r="R69" i="9"/>
  <c r="R70" i="9"/>
  <c r="R71" i="9"/>
  <c r="R72" i="9"/>
  <c r="R73" i="9"/>
  <c r="R74" i="9"/>
  <c r="R75" i="9"/>
  <c r="R76" i="9"/>
  <c r="R77" i="9"/>
  <c r="R79" i="9"/>
  <c r="R80" i="9"/>
  <c r="R81" i="9"/>
  <c r="R82" i="9"/>
  <c r="R83" i="9"/>
  <c r="R84" i="9"/>
  <c r="R85" i="9"/>
  <c r="R86" i="9"/>
  <c r="R87" i="9"/>
  <c r="R88" i="9"/>
  <c r="R89" i="9"/>
  <c r="R90" i="9"/>
  <c r="R91" i="9"/>
  <c r="R92" i="9"/>
  <c r="R93" i="9"/>
  <c r="R94" i="9"/>
  <c r="R95" i="9"/>
  <c r="R96" i="9"/>
  <c r="R97" i="9"/>
  <c r="R98" i="9"/>
  <c r="R99" i="9"/>
  <c r="R100" i="9"/>
  <c r="R3" i="9"/>
  <c r="L74" i="9"/>
  <c r="L32" i="9"/>
  <c r="L33" i="9"/>
  <c r="L34" i="9"/>
  <c r="L35" i="9"/>
  <c r="L36" i="9"/>
  <c r="L37" i="9"/>
  <c r="L38" i="9"/>
  <c r="L39" i="9"/>
  <c r="L40" i="9"/>
  <c r="L41" i="9"/>
  <c r="L42" i="9"/>
  <c r="L43" i="9"/>
  <c r="L44" i="9"/>
  <c r="L23" i="9"/>
  <c r="L14" i="9"/>
  <c r="L15" i="9"/>
  <c r="L16" i="9"/>
  <c r="L17" i="9"/>
  <c r="L18" i="9"/>
  <c r="L19" i="9"/>
  <c r="L20" i="9"/>
  <c r="L21" i="9"/>
  <c r="L22" i="9"/>
  <c r="L24" i="9"/>
  <c r="L25" i="9"/>
  <c r="L26" i="9"/>
  <c r="L4" i="9" l="1"/>
  <c r="L5" i="9"/>
  <c r="L6" i="9"/>
  <c r="L7" i="9"/>
  <c r="L8" i="9"/>
  <c r="L9" i="9"/>
  <c r="L10" i="9"/>
  <c r="L11" i="9"/>
  <c r="L12" i="9"/>
  <c r="L13" i="9"/>
  <c r="L27" i="9"/>
  <c r="L28" i="9"/>
  <c r="L29" i="9"/>
  <c r="L30" i="9"/>
  <c r="L31" i="9"/>
  <c r="L48" i="9"/>
  <c r="L49" i="9"/>
  <c r="L50" i="9"/>
  <c r="L51" i="9"/>
  <c r="L52" i="9"/>
  <c r="L53" i="9"/>
  <c r="L54" i="9"/>
  <c r="L55" i="9"/>
  <c r="L56" i="9"/>
  <c r="L57" i="9"/>
  <c r="L58" i="9"/>
  <c r="L59" i="9"/>
  <c r="L60" i="9"/>
  <c r="L61" i="9"/>
  <c r="L62" i="9"/>
  <c r="L63" i="9"/>
  <c r="L64" i="9"/>
  <c r="L65" i="9"/>
  <c r="L66" i="9"/>
  <c r="L67" i="9"/>
  <c r="L68" i="9"/>
  <c r="L69" i="9"/>
  <c r="L70" i="9"/>
  <c r="L71" i="9"/>
  <c r="L72" i="9"/>
  <c r="L73" i="9"/>
  <c r="L75" i="9"/>
  <c r="L76" i="9"/>
  <c r="L77" i="9"/>
  <c r="L78" i="9"/>
  <c r="L79" i="9"/>
  <c r="L80" i="9"/>
  <c r="L81" i="9"/>
  <c r="L82" i="9"/>
  <c r="L83" i="9"/>
  <c r="L84" i="9"/>
  <c r="L85" i="9"/>
  <c r="L86" i="9"/>
  <c r="L87" i="9"/>
  <c r="L88" i="9"/>
  <c r="L89" i="9"/>
  <c r="L90" i="9"/>
  <c r="L91" i="9"/>
  <c r="L92" i="9"/>
  <c r="L93" i="9"/>
  <c r="L94" i="9"/>
  <c r="L96" i="9"/>
  <c r="L97" i="9"/>
  <c r="L98" i="9"/>
  <c r="L99" i="9"/>
  <c r="L100" i="9"/>
  <c r="L3" i="9"/>
  <c r="F100" i="9" l="1"/>
  <c r="X100" i="9"/>
  <c r="AV100" i="9"/>
  <c r="BB100" i="9"/>
  <c r="BH100" i="9"/>
  <c r="BN100" i="9"/>
  <c r="BT100" i="9"/>
  <c r="BZ100" i="9"/>
  <c r="CF100" i="9"/>
  <c r="CL100" i="9"/>
  <c r="F119" i="8"/>
  <c r="J119" i="8"/>
  <c r="K119" i="8" s="1"/>
  <c r="O119" i="8"/>
  <c r="P119" i="8" s="1"/>
  <c r="T119" i="8"/>
  <c r="U119" i="8" s="1"/>
  <c r="AK119" i="8"/>
  <c r="AL119" i="8" s="1"/>
  <c r="AP119" i="8"/>
  <c r="AQ119" i="8" s="1"/>
  <c r="AU119" i="8"/>
  <c r="AV119" i="8" s="1"/>
  <c r="AZ119" i="8"/>
  <c r="BA119" i="8" s="1"/>
  <c r="BE119" i="8"/>
  <c r="BF119" i="8" s="1"/>
  <c r="BJ119" i="8"/>
  <c r="BK119" i="8" s="1"/>
  <c r="BO119" i="8"/>
  <c r="BP119" i="8" s="1"/>
  <c r="BU119" i="8"/>
  <c r="X40" i="9" l="1"/>
  <c r="F63" i="9" l="1"/>
  <c r="F64" i="9"/>
  <c r="F66" i="9"/>
  <c r="F67" i="9"/>
  <c r="F68" i="9"/>
  <c r="F69" i="9"/>
  <c r="F70" i="9"/>
  <c r="F71" i="9"/>
  <c r="F72" i="9"/>
  <c r="F73" i="9"/>
  <c r="F74" i="9"/>
  <c r="F75" i="9"/>
  <c r="F55" i="9"/>
  <c r="F53" i="9"/>
  <c r="F54" i="9"/>
  <c r="F56" i="9"/>
  <c r="F57" i="9"/>
  <c r="F58" i="9"/>
  <c r="F59" i="9"/>
  <c r="F60" i="9"/>
  <c r="F61" i="9"/>
  <c r="F62" i="9"/>
  <c r="F42" i="9" l="1"/>
  <c r="F43" i="9"/>
  <c r="F44" i="9"/>
  <c r="F48" i="9"/>
  <c r="F49" i="9"/>
  <c r="F50" i="9"/>
  <c r="F51" i="9"/>
  <c r="F52" i="9"/>
  <c r="F32" i="9"/>
  <c r="F33" i="9"/>
  <c r="F34" i="9"/>
  <c r="F35" i="9"/>
  <c r="F36" i="9"/>
  <c r="F37" i="9"/>
  <c r="F38" i="9"/>
  <c r="F39" i="9"/>
  <c r="F40" i="9"/>
  <c r="F41" i="9"/>
  <c r="F3" i="9"/>
  <c r="F4" i="9"/>
  <c r="F5" i="9"/>
  <c r="F6" i="9"/>
  <c r="F7" i="9"/>
  <c r="F8" i="9"/>
  <c r="F9" i="9"/>
  <c r="F10" i="9"/>
  <c r="F11" i="9"/>
  <c r="F12" i="9"/>
  <c r="F13" i="9"/>
  <c r="F14" i="9"/>
  <c r="F15" i="9"/>
  <c r="F16" i="9"/>
  <c r="F17" i="9"/>
  <c r="F18" i="9"/>
  <c r="F19" i="9"/>
  <c r="F20" i="9"/>
  <c r="F21" i="9"/>
  <c r="F22" i="9"/>
  <c r="F23" i="9"/>
  <c r="F24" i="9"/>
  <c r="F25" i="9"/>
  <c r="F26" i="9"/>
  <c r="F27" i="9"/>
  <c r="F28" i="9"/>
  <c r="F29" i="9"/>
  <c r="F30" i="9"/>
  <c r="F31" i="9"/>
  <c r="F76" i="9"/>
  <c r="F77" i="9"/>
  <c r="F78" i="9"/>
  <c r="F79" i="9"/>
  <c r="F80" i="9"/>
  <c r="F81" i="9"/>
  <c r="F82" i="9"/>
  <c r="F83" i="9"/>
  <c r="F84" i="9"/>
  <c r="F85" i="9"/>
  <c r="F86" i="9"/>
  <c r="F87" i="9"/>
  <c r="F88" i="9"/>
  <c r="F89" i="9"/>
  <c r="F90" i="9"/>
  <c r="F91" i="9"/>
  <c r="F92" i="9"/>
  <c r="F93" i="9"/>
  <c r="F94" i="9"/>
  <c r="F95" i="9"/>
  <c r="F96" i="9"/>
  <c r="F97" i="9"/>
  <c r="F98" i="9"/>
  <c r="F99" i="9"/>
  <c r="U148" i="8"/>
  <c r="W72" i="9"/>
  <c r="W38" i="9"/>
  <c r="X99" i="9"/>
  <c r="AV99" i="9"/>
  <c r="BB99" i="9"/>
  <c r="BH99" i="9"/>
  <c r="BN99" i="9"/>
  <c r="BT99" i="9"/>
  <c r="BZ99" i="9"/>
  <c r="CF99" i="9"/>
  <c r="CL99" i="9"/>
  <c r="W61" i="9"/>
  <c r="W53" i="9"/>
  <c r="X22" i="9"/>
  <c r="E133" i="8"/>
  <c r="F133" i="8" s="1"/>
  <c r="J133" i="8"/>
  <c r="K133" i="8" s="1"/>
  <c r="O133" i="8"/>
  <c r="P133" i="8" s="1"/>
  <c r="T133" i="8"/>
  <c r="U133" i="8" s="1"/>
  <c r="AK133" i="8"/>
  <c r="AL133" i="8" s="1"/>
  <c r="AP133" i="8"/>
  <c r="AQ133" i="8" s="1"/>
  <c r="AU133" i="8"/>
  <c r="AV133" i="8" s="1"/>
  <c r="AZ133" i="8"/>
  <c r="BA133" i="8" s="1"/>
  <c r="BE133" i="8"/>
  <c r="BF133" i="8" s="1"/>
  <c r="BJ133" i="8"/>
  <c r="BK133" i="8" s="1"/>
  <c r="BO133" i="8"/>
  <c r="BP133" i="8" s="1"/>
  <c r="BU133" i="8"/>
  <c r="E174" i="8"/>
  <c r="F174" i="8" s="1"/>
  <c r="J174" i="8"/>
  <c r="K174" i="8" s="1"/>
  <c r="O174" i="8"/>
  <c r="P174" i="8" s="1"/>
  <c r="T174" i="8"/>
  <c r="U174" i="8" s="1"/>
  <c r="AK174" i="8"/>
  <c r="AL174" i="8" s="1"/>
  <c r="AP174" i="8"/>
  <c r="AQ174" i="8" s="1"/>
  <c r="AU174" i="8"/>
  <c r="AV174" i="8" s="1"/>
  <c r="AZ174" i="8"/>
  <c r="BA174" i="8" s="1"/>
  <c r="BE174" i="8"/>
  <c r="BF174" i="8" s="1"/>
  <c r="BJ174" i="8"/>
  <c r="BK174" i="8" s="1"/>
  <c r="BO174" i="8"/>
  <c r="BP174" i="8" s="1"/>
  <c r="BU174" i="8"/>
  <c r="E53" i="8"/>
  <c r="F53" i="8" s="1"/>
  <c r="J53" i="8"/>
  <c r="K53" i="8" s="1"/>
  <c r="O53" i="8"/>
  <c r="P53" i="8" s="1"/>
  <c r="T53" i="8"/>
  <c r="U53" i="8" s="1"/>
  <c r="AK53" i="8"/>
  <c r="AL53" i="8" s="1"/>
  <c r="AP53" i="8"/>
  <c r="AQ53" i="8" s="1"/>
  <c r="AU53" i="8"/>
  <c r="AV53" i="8" s="1"/>
  <c r="AZ53" i="8"/>
  <c r="BA53" i="8" s="1"/>
  <c r="BE53" i="8"/>
  <c r="BF53" i="8" s="1"/>
  <c r="BJ53" i="8"/>
  <c r="BK53" i="8" s="1"/>
  <c r="BO53" i="8"/>
  <c r="BP53" i="8" s="1"/>
  <c r="BU53" i="8"/>
  <c r="E60" i="8"/>
  <c r="F60" i="8" s="1"/>
  <c r="E57" i="8"/>
  <c r="F57" i="8" s="1"/>
  <c r="E56" i="8"/>
  <c r="F56" i="8" s="1"/>
  <c r="E110" i="8"/>
  <c r="F110" i="8" s="1"/>
  <c r="E67" i="8"/>
  <c r="F67" i="8" s="1"/>
  <c r="E66" i="8"/>
  <c r="F66" i="8" s="1"/>
  <c r="E26" i="8"/>
  <c r="F26" i="8" s="1"/>
  <c r="E130" i="8"/>
  <c r="F130" i="8" s="1"/>
  <c r="E3" i="8"/>
  <c r="F3" i="8" s="1"/>
  <c r="E162" i="8"/>
  <c r="F162" i="8" s="1"/>
  <c r="E82" i="8"/>
  <c r="F82" i="8" s="1"/>
  <c r="E136" i="8"/>
  <c r="F136" i="8" s="1"/>
  <c r="E84" i="8"/>
  <c r="F84" i="8" s="1"/>
  <c r="E83" i="8"/>
  <c r="F83" i="8" s="1"/>
  <c r="E170" i="8"/>
  <c r="F170" i="8" s="1"/>
  <c r="E68" i="8"/>
  <c r="F68" i="8" s="1"/>
  <c r="E28" i="8"/>
  <c r="F28" i="8" s="1"/>
  <c r="E34" i="8"/>
  <c r="F34" i="8" s="1"/>
  <c r="E10" i="8"/>
  <c r="F10" i="8" s="1"/>
  <c r="E40" i="8"/>
  <c r="F40" i="8" s="1"/>
  <c r="E118" i="8"/>
  <c r="F118" i="8" s="1"/>
  <c r="E98" i="8"/>
  <c r="F98" i="8" s="1"/>
  <c r="E137" i="8"/>
  <c r="F137" i="8" s="1"/>
  <c r="E63" i="8"/>
  <c r="F63" i="8" s="1"/>
  <c r="E138" i="8"/>
  <c r="F138" i="8" s="1"/>
  <c r="E11" i="8"/>
  <c r="F11" i="8" s="1"/>
  <c r="E121" i="8"/>
  <c r="F121" i="8" s="1"/>
  <c r="E149" i="8"/>
  <c r="F149" i="8" s="1"/>
  <c r="E55" i="8"/>
  <c r="F55" i="8" s="1"/>
  <c r="F148" i="8"/>
  <c r="E154" i="8"/>
  <c r="F154" i="8" s="1"/>
  <c r="E117" i="8"/>
  <c r="F117" i="8" s="1"/>
  <c r="E25" i="8"/>
  <c r="F25" i="8" s="1"/>
  <c r="E100" i="8"/>
  <c r="F100" i="8" s="1"/>
  <c r="E52" i="8"/>
  <c r="F52" i="8" s="1"/>
  <c r="E77" i="8"/>
  <c r="F77" i="8" s="1"/>
  <c r="E76" i="8"/>
  <c r="F76" i="8" s="1"/>
  <c r="E32" i="8"/>
  <c r="F32" i="8" s="1"/>
  <c r="E134" i="8"/>
  <c r="F134" i="8" s="1"/>
  <c r="E96" i="8"/>
  <c r="F96" i="8" s="1"/>
  <c r="E128" i="8"/>
  <c r="F128" i="8" s="1"/>
  <c r="F164" i="8"/>
  <c r="E106" i="8"/>
  <c r="F106" i="8" s="1"/>
  <c r="E15" i="8"/>
  <c r="F15" i="8" s="1"/>
  <c r="E16" i="8"/>
  <c r="F16" i="8" s="1"/>
  <c r="E92" i="8"/>
  <c r="F92" i="8" s="1"/>
  <c r="E95" i="8"/>
  <c r="F95" i="8" s="1"/>
  <c r="E47" i="8"/>
  <c r="F47" i="8" s="1"/>
  <c r="E157" i="8"/>
  <c r="F157" i="8" s="1"/>
  <c r="E91" i="8"/>
  <c r="F91" i="8" s="1"/>
  <c r="E12" i="8"/>
  <c r="F12" i="8" s="1"/>
  <c r="E18" i="8"/>
  <c r="F18" i="8" s="1"/>
  <c r="E39" i="8"/>
  <c r="F39" i="8" s="1"/>
  <c r="E150" i="8"/>
  <c r="F150" i="8" s="1"/>
  <c r="E123" i="8"/>
  <c r="F123" i="8" s="1"/>
  <c r="E38" i="8"/>
  <c r="F38" i="8" s="1"/>
  <c r="E21" i="8"/>
  <c r="F21" i="8" s="1"/>
  <c r="E145" i="8"/>
  <c r="F145" i="8" s="1"/>
  <c r="E109" i="8"/>
  <c r="F109" i="8" s="1"/>
  <c r="E69" i="8"/>
  <c r="F69" i="8" s="1"/>
  <c r="E23" i="8"/>
  <c r="F23" i="8" s="1"/>
  <c r="E44" i="8"/>
  <c r="F44" i="8" s="1"/>
  <c r="E158" i="8"/>
  <c r="F158" i="8" s="1"/>
  <c r="E101" i="8"/>
  <c r="F101" i="8" s="1"/>
  <c r="E160" i="8"/>
  <c r="F160" i="8" s="1"/>
  <c r="E161" i="8"/>
  <c r="F161" i="8" s="1"/>
  <c r="E99" i="8"/>
  <c r="F99" i="8" s="1"/>
  <c r="E29" i="8"/>
  <c r="F29" i="8" s="1"/>
  <c r="E22" i="8"/>
  <c r="F22" i="8" s="1"/>
  <c r="F49" i="8"/>
  <c r="F64" i="8"/>
  <c r="E70" i="8"/>
  <c r="F70" i="8" s="1"/>
  <c r="E30" i="8"/>
  <c r="F30" i="8" s="1"/>
  <c r="E168" i="8"/>
  <c r="F168" i="8" s="1"/>
  <c r="E159" i="8"/>
  <c r="F159" i="8" s="1"/>
  <c r="E94" i="8"/>
  <c r="F94" i="8" s="1"/>
  <c r="E153" i="8"/>
  <c r="F153" i="8" s="1"/>
  <c r="E107" i="8"/>
  <c r="F107" i="8" s="1"/>
  <c r="E112" i="8"/>
  <c r="F112" i="8" s="1"/>
  <c r="E75" i="8"/>
  <c r="F75" i="8" s="1"/>
  <c r="E4" i="8"/>
  <c r="F4" i="8" s="1"/>
  <c r="E124" i="8"/>
  <c r="F124" i="8" s="1"/>
  <c r="E139" i="8"/>
  <c r="F139" i="8" s="1"/>
  <c r="E9" i="8"/>
  <c r="F9" i="8" s="1"/>
  <c r="E116" i="8"/>
  <c r="F116" i="8" s="1"/>
  <c r="E115" i="8"/>
  <c r="F115" i="8" s="1"/>
  <c r="E108" i="8"/>
  <c r="F108" i="8" s="1"/>
  <c r="E155" i="8"/>
  <c r="F155" i="8" s="1"/>
  <c r="E20" i="8"/>
  <c r="F20" i="8" s="1"/>
  <c r="E167" i="8"/>
  <c r="F167" i="8" s="1"/>
  <c r="E113" i="8"/>
  <c r="F113" i="8" s="1"/>
  <c r="E173" i="8"/>
  <c r="F173" i="8" s="1"/>
  <c r="E140" i="8"/>
  <c r="F140" i="8" s="1"/>
  <c r="E43" i="8"/>
  <c r="F43" i="8" s="1"/>
  <c r="E45" i="8"/>
  <c r="F45" i="8" s="1"/>
  <c r="E78" i="8"/>
  <c r="F78" i="8" s="1"/>
  <c r="E24" i="8"/>
  <c r="F24" i="8" s="1"/>
  <c r="E33" i="8"/>
  <c r="F33" i="8" s="1"/>
  <c r="E5" i="8"/>
  <c r="F5" i="8" s="1"/>
  <c r="E90" i="8"/>
  <c r="F90" i="8" s="1"/>
  <c r="E50" i="8"/>
  <c r="F50" i="8" s="1"/>
  <c r="E85" i="8"/>
  <c r="F85" i="8" s="1"/>
  <c r="E48" i="8"/>
  <c r="F48" i="8" s="1"/>
  <c r="E74" i="8"/>
  <c r="F74" i="8" s="1"/>
  <c r="E143" i="8"/>
  <c r="F143" i="8" s="1"/>
  <c r="E102" i="8"/>
  <c r="F102" i="8" s="1"/>
  <c r="E35" i="8"/>
  <c r="F35" i="8" s="1"/>
  <c r="E129" i="8"/>
  <c r="F129" i="8" s="1"/>
  <c r="E144" i="8"/>
  <c r="F144" i="8" s="1"/>
  <c r="E54" i="8"/>
  <c r="F54" i="8" s="1"/>
  <c r="E36" i="8"/>
  <c r="F36" i="8" s="1"/>
  <c r="E61" i="8"/>
  <c r="F61" i="8" s="1"/>
  <c r="E105" i="8"/>
  <c r="F105" i="8" s="1"/>
  <c r="E62" i="8"/>
  <c r="F62" i="8" s="1"/>
  <c r="E41" i="8"/>
  <c r="F41" i="8" s="1"/>
  <c r="E42" i="8"/>
  <c r="F42" i="8" s="1"/>
  <c r="E71" i="8"/>
  <c r="F71" i="8" s="1"/>
  <c r="E72" i="8"/>
  <c r="F72" i="8" s="1"/>
  <c r="E111" i="8"/>
  <c r="F111" i="8" s="1"/>
  <c r="E142" i="8"/>
  <c r="F142" i="8" s="1"/>
  <c r="E27" i="8"/>
  <c r="F27" i="8" s="1"/>
  <c r="E131" i="8"/>
  <c r="F131" i="8" s="1"/>
  <c r="E73" i="8"/>
  <c r="F73" i="8" s="1"/>
  <c r="E65" i="8"/>
  <c r="F65" i="8" s="1"/>
  <c r="E19" i="8"/>
  <c r="F19" i="8" s="1"/>
  <c r="E171" i="8"/>
  <c r="F171" i="8" s="1"/>
  <c r="E37" i="8"/>
  <c r="F37" i="8" s="1"/>
  <c r="E141" i="8"/>
  <c r="F141" i="8" s="1"/>
  <c r="E152" i="8"/>
  <c r="F152" i="8" s="1"/>
  <c r="E135" i="8"/>
  <c r="F135" i="8" s="1"/>
  <c r="E86" i="8"/>
  <c r="F86" i="8" s="1"/>
  <c r="E163" i="8"/>
  <c r="F163" i="8" s="1"/>
  <c r="E8" i="8"/>
  <c r="F8" i="8" s="1"/>
  <c r="E120" i="8"/>
  <c r="F120" i="8" s="1"/>
  <c r="E151" i="8"/>
  <c r="F151" i="8" s="1"/>
  <c r="E7" i="8"/>
  <c r="F7" i="8" s="1"/>
  <c r="E79" i="8"/>
  <c r="F79" i="8" s="1"/>
  <c r="E80" i="8"/>
  <c r="F80" i="8" s="1"/>
  <c r="E147" i="8"/>
  <c r="F147" i="8" s="1"/>
  <c r="E58" i="8"/>
  <c r="F58" i="8" s="1"/>
  <c r="E88" i="8"/>
  <c r="F88" i="8" s="1"/>
  <c r="E127" i="8"/>
  <c r="F127" i="8" s="1"/>
  <c r="E114" i="8"/>
  <c r="F114" i="8" s="1"/>
  <c r="E146" i="8"/>
  <c r="F146" i="8" s="1"/>
  <c r="E87" i="8"/>
  <c r="F87" i="8" s="1"/>
  <c r="E126" i="8"/>
  <c r="F126" i="8" s="1"/>
  <c r="E132" i="8"/>
  <c r="F132" i="8" s="1"/>
  <c r="E89" i="8"/>
  <c r="F89" i="8" s="1"/>
  <c r="E97" i="8"/>
  <c r="F97" i="8" s="1"/>
  <c r="E31" i="8"/>
  <c r="F31" i="8" s="1"/>
  <c r="E104" i="8"/>
  <c r="F104" i="8" s="1"/>
  <c r="E17" i="8"/>
  <c r="F17" i="8" s="1"/>
  <c r="E166" i="8"/>
  <c r="F166" i="8" s="1"/>
  <c r="J60" i="8"/>
  <c r="K60" i="8" s="1"/>
  <c r="J57" i="8"/>
  <c r="K57" i="8" s="1"/>
  <c r="J56" i="8"/>
  <c r="K56" i="8" s="1"/>
  <c r="J110" i="8"/>
  <c r="K110" i="8" s="1"/>
  <c r="J67" i="8"/>
  <c r="K67" i="8" s="1"/>
  <c r="J66" i="8"/>
  <c r="K66" i="8" s="1"/>
  <c r="J26" i="8"/>
  <c r="K26" i="8" s="1"/>
  <c r="J130" i="8"/>
  <c r="K130" i="8" s="1"/>
  <c r="J3" i="8"/>
  <c r="K3" i="8" s="1"/>
  <c r="J162" i="8"/>
  <c r="K162" i="8" s="1"/>
  <c r="J82" i="8"/>
  <c r="K82" i="8" s="1"/>
  <c r="J136" i="8"/>
  <c r="K136" i="8" s="1"/>
  <c r="J84" i="8"/>
  <c r="K84" i="8" s="1"/>
  <c r="J83" i="8"/>
  <c r="K83" i="8" s="1"/>
  <c r="J170" i="8"/>
  <c r="K170" i="8" s="1"/>
  <c r="J68" i="8"/>
  <c r="K68" i="8" s="1"/>
  <c r="J28" i="8"/>
  <c r="K28" i="8" s="1"/>
  <c r="J34" i="8"/>
  <c r="K34" i="8" s="1"/>
  <c r="J10" i="8"/>
  <c r="K10" i="8" s="1"/>
  <c r="J40" i="8"/>
  <c r="K40" i="8" s="1"/>
  <c r="J118" i="8"/>
  <c r="K118" i="8" s="1"/>
  <c r="J98" i="8"/>
  <c r="K98" i="8" s="1"/>
  <c r="J137" i="8"/>
  <c r="K137" i="8" s="1"/>
  <c r="J63" i="8"/>
  <c r="K63" i="8" s="1"/>
  <c r="J138" i="8"/>
  <c r="K138" i="8" s="1"/>
  <c r="J11" i="8"/>
  <c r="K11" i="8" s="1"/>
  <c r="J121" i="8"/>
  <c r="K121" i="8" s="1"/>
  <c r="J149" i="8"/>
  <c r="K149" i="8" s="1"/>
  <c r="J55" i="8"/>
  <c r="K55" i="8" s="1"/>
  <c r="K148" i="8"/>
  <c r="J154" i="8"/>
  <c r="K154" i="8" s="1"/>
  <c r="J117" i="8"/>
  <c r="K117" i="8" s="1"/>
  <c r="J25" i="8"/>
  <c r="K25" i="8" s="1"/>
  <c r="J100" i="8"/>
  <c r="K100" i="8" s="1"/>
  <c r="J52" i="8"/>
  <c r="K52" i="8" s="1"/>
  <c r="J77" i="8"/>
  <c r="K77" i="8" s="1"/>
  <c r="J76" i="8"/>
  <c r="K76" i="8" s="1"/>
  <c r="J32" i="8"/>
  <c r="K32" i="8" s="1"/>
  <c r="J134" i="8"/>
  <c r="K134" i="8" s="1"/>
  <c r="J96" i="8"/>
  <c r="K96" i="8" s="1"/>
  <c r="J128" i="8"/>
  <c r="K128" i="8" s="1"/>
  <c r="K164" i="8"/>
  <c r="J106" i="8"/>
  <c r="K106" i="8" s="1"/>
  <c r="J15" i="8"/>
  <c r="K15" i="8" s="1"/>
  <c r="J16" i="8"/>
  <c r="K16" i="8" s="1"/>
  <c r="J92" i="8"/>
  <c r="K92" i="8" s="1"/>
  <c r="J95" i="8"/>
  <c r="K95" i="8" s="1"/>
  <c r="J47" i="8"/>
  <c r="K47" i="8" s="1"/>
  <c r="J157" i="8"/>
  <c r="K157" i="8" s="1"/>
  <c r="J91" i="8"/>
  <c r="K91" i="8" s="1"/>
  <c r="J12" i="8"/>
  <c r="K12" i="8" s="1"/>
  <c r="K18" i="8"/>
  <c r="J39" i="8"/>
  <c r="K39" i="8" s="1"/>
  <c r="J150" i="8"/>
  <c r="K150" i="8" s="1"/>
  <c r="J123" i="8"/>
  <c r="K123" i="8" s="1"/>
  <c r="J38" i="8"/>
  <c r="K38" i="8" s="1"/>
  <c r="J21" i="8"/>
  <c r="K21" i="8" s="1"/>
  <c r="J145" i="8"/>
  <c r="K145" i="8" s="1"/>
  <c r="J109" i="8"/>
  <c r="K109" i="8" s="1"/>
  <c r="J69" i="8"/>
  <c r="K69" i="8" s="1"/>
  <c r="J23" i="8"/>
  <c r="K23" i="8" s="1"/>
  <c r="J44" i="8"/>
  <c r="K44" i="8" s="1"/>
  <c r="J158" i="8"/>
  <c r="K158" i="8" s="1"/>
  <c r="J101" i="8"/>
  <c r="K101" i="8" s="1"/>
  <c r="J160" i="8"/>
  <c r="K160" i="8" s="1"/>
  <c r="J161" i="8"/>
  <c r="K161" i="8" s="1"/>
  <c r="J99" i="8"/>
  <c r="K99" i="8" s="1"/>
  <c r="J29" i="8"/>
  <c r="K29" i="8" s="1"/>
  <c r="J22" i="8"/>
  <c r="K22" i="8" s="1"/>
  <c r="K49" i="8"/>
  <c r="K64" i="8"/>
  <c r="J70" i="8"/>
  <c r="K70" i="8" s="1"/>
  <c r="J30" i="8"/>
  <c r="K30" i="8" s="1"/>
  <c r="J168" i="8"/>
  <c r="K168" i="8" s="1"/>
  <c r="J159" i="8"/>
  <c r="K159" i="8" s="1"/>
  <c r="J94" i="8"/>
  <c r="K94" i="8" s="1"/>
  <c r="J153" i="8"/>
  <c r="K153" i="8" s="1"/>
  <c r="J107" i="8"/>
  <c r="K107" i="8" s="1"/>
  <c r="J112" i="8"/>
  <c r="K112" i="8" s="1"/>
  <c r="J75" i="8"/>
  <c r="K75" i="8" s="1"/>
  <c r="J4" i="8"/>
  <c r="K4" i="8" s="1"/>
  <c r="J124" i="8"/>
  <c r="K124" i="8" s="1"/>
  <c r="J139" i="8"/>
  <c r="K139" i="8" s="1"/>
  <c r="J9" i="8"/>
  <c r="K9" i="8" s="1"/>
  <c r="J116" i="8"/>
  <c r="K116" i="8" s="1"/>
  <c r="J115" i="8"/>
  <c r="K115" i="8" s="1"/>
  <c r="J108" i="8"/>
  <c r="K108" i="8" s="1"/>
  <c r="J155" i="8"/>
  <c r="K155" i="8" s="1"/>
  <c r="J20" i="8"/>
  <c r="K20" i="8" s="1"/>
  <c r="J167" i="8"/>
  <c r="K167" i="8" s="1"/>
  <c r="J113" i="8"/>
  <c r="K113" i="8" s="1"/>
  <c r="J173" i="8"/>
  <c r="K173" i="8" s="1"/>
  <c r="J140" i="8"/>
  <c r="K140" i="8" s="1"/>
  <c r="J43" i="8"/>
  <c r="K43" i="8" s="1"/>
  <c r="J45" i="8"/>
  <c r="K45" i="8" s="1"/>
  <c r="J78" i="8"/>
  <c r="K78" i="8" s="1"/>
  <c r="J24" i="8"/>
  <c r="K24" i="8" s="1"/>
  <c r="J33" i="8"/>
  <c r="K33" i="8" s="1"/>
  <c r="J5" i="8"/>
  <c r="K5" i="8" s="1"/>
  <c r="J90" i="8"/>
  <c r="K90" i="8" s="1"/>
  <c r="J50" i="8"/>
  <c r="K50" i="8" s="1"/>
  <c r="J85" i="8"/>
  <c r="K85" i="8" s="1"/>
  <c r="J48" i="8"/>
  <c r="K48" i="8" s="1"/>
  <c r="J74" i="8"/>
  <c r="K74" i="8" s="1"/>
  <c r="J143" i="8"/>
  <c r="K143" i="8" s="1"/>
  <c r="J102" i="8"/>
  <c r="K102" i="8" s="1"/>
  <c r="J35" i="8"/>
  <c r="K35" i="8" s="1"/>
  <c r="J129" i="8"/>
  <c r="K129" i="8" s="1"/>
  <c r="J144" i="8"/>
  <c r="K144" i="8" s="1"/>
  <c r="J54" i="8"/>
  <c r="K54" i="8" s="1"/>
  <c r="J36" i="8"/>
  <c r="K36" i="8" s="1"/>
  <c r="J61" i="8"/>
  <c r="K61" i="8" s="1"/>
  <c r="J105" i="8"/>
  <c r="K105" i="8" s="1"/>
  <c r="J62" i="8"/>
  <c r="K62" i="8" s="1"/>
  <c r="J41" i="8"/>
  <c r="K41" i="8" s="1"/>
  <c r="J42" i="8"/>
  <c r="K42" i="8" s="1"/>
  <c r="J71" i="8"/>
  <c r="K71" i="8" s="1"/>
  <c r="J72" i="8"/>
  <c r="K72" i="8" s="1"/>
  <c r="J111" i="8"/>
  <c r="K111" i="8" s="1"/>
  <c r="J142" i="8"/>
  <c r="K142" i="8" s="1"/>
  <c r="J27" i="8"/>
  <c r="K27" i="8" s="1"/>
  <c r="J131" i="8"/>
  <c r="K131" i="8" s="1"/>
  <c r="J73" i="8"/>
  <c r="K73" i="8" s="1"/>
  <c r="J65" i="8"/>
  <c r="K65" i="8" s="1"/>
  <c r="J19" i="8"/>
  <c r="K19" i="8" s="1"/>
  <c r="J171" i="8"/>
  <c r="K171" i="8" s="1"/>
  <c r="J37" i="8"/>
  <c r="K37" i="8" s="1"/>
  <c r="J141" i="8"/>
  <c r="K141" i="8" s="1"/>
  <c r="J152" i="8"/>
  <c r="K152" i="8" s="1"/>
  <c r="J135" i="8"/>
  <c r="K135" i="8" s="1"/>
  <c r="J86" i="8"/>
  <c r="K86" i="8" s="1"/>
  <c r="J163" i="8"/>
  <c r="K163" i="8" s="1"/>
  <c r="J8" i="8"/>
  <c r="K8" i="8" s="1"/>
  <c r="J120" i="8"/>
  <c r="K120" i="8" s="1"/>
  <c r="J151" i="8"/>
  <c r="K151" i="8" s="1"/>
  <c r="J7" i="8"/>
  <c r="K7" i="8" s="1"/>
  <c r="J79" i="8"/>
  <c r="K79" i="8" s="1"/>
  <c r="J80" i="8"/>
  <c r="K80" i="8" s="1"/>
  <c r="J147" i="8"/>
  <c r="K147" i="8" s="1"/>
  <c r="J58" i="8"/>
  <c r="K58" i="8" s="1"/>
  <c r="J88" i="8"/>
  <c r="K88" i="8" s="1"/>
  <c r="J127" i="8"/>
  <c r="K127" i="8" s="1"/>
  <c r="J114" i="8"/>
  <c r="K114" i="8" s="1"/>
  <c r="J146" i="8"/>
  <c r="K146" i="8" s="1"/>
  <c r="J87" i="8"/>
  <c r="K87" i="8" s="1"/>
  <c r="J126" i="8"/>
  <c r="K126" i="8" s="1"/>
  <c r="J132" i="8"/>
  <c r="K132" i="8" s="1"/>
  <c r="J89" i="8"/>
  <c r="K89" i="8" s="1"/>
  <c r="J97" i="8"/>
  <c r="K97" i="8" s="1"/>
  <c r="J31" i="8"/>
  <c r="K31" i="8" s="1"/>
  <c r="J104" i="8"/>
  <c r="K104" i="8" s="1"/>
  <c r="J17" i="8"/>
  <c r="K17" i="8" s="1"/>
  <c r="J166" i="8"/>
  <c r="K166" i="8" s="1"/>
  <c r="O57" i="8"/>
  <c r="P57" i="8" s="1"/>
  <c r="O56" i="8"/>
  <c r="P56" i="8" s="1"/>
  <c r="O110" i="8"/>
  <c r="P110" i="8" s="1"/>
  <c r="O67" i="8"/>
  <c r="P67" i="8" s="1"/>
  <c r="O66" i="8"/>
  <c r="P66" i="8" s="1"/>
  <c r="O26" i="8"/>
  <c r="P26" i="8" s="1"/>
  <c r="O130" i="8"/>
  <c r="P130" i="8" s="1"/>
  <c r="O3" i="8"/>
  <c r="P3" i="8" s="1"/>
  <c r="O162" i="8"/>
  <c r="P162" i="8" s="1"/>
  <c r="O82" i="8"/>
  <c r="P82" i="8" s="1"/>
  <c r="O136" i="8"/>
  <c r="P136" i="8" s="1"/>
  <c r="O84" i="8"/>
  <c r="P84" i="8" s="1"/>
  <c r="O83" i="8"/>
  <c r="P83" i="8" s="1"/>
  <c r="O170" i="8"/>
  <c r="P170" i="8" s="1"/>
  <c r="O68" i="8"/>
  <c r="P68" i="8" s="1"/>
  <c r="O28" i="8"/>
  <c r="P28" i="8" s="1"/>
  <c r="O34" i="8"/>
  <c r="P34" i="8" s="1"/>
  <c r="P10" i="8"/>
  <c r="O40" i="8"/>
  <c r="P40" i="8" s="1"/>
  <c r="O118" i="8"/>
  <c r="P118" i="8" s="1"/>
  <c r="O98" i="8"/>
  <c r="P98" i="8" s="1"/>
  <c r="O137" i="8"/>
  <c r="P137" i="8" s="1"/>
  <c r="O63" i="8"/>
  <c r="P63" i="8" s="1"/>
  <c r="O138" i="8"/>
  <c r="P138" i="8" s="1"/>
  <c r="O11" i="8"/>
  <c r="P11" i="8" s="1"/>
  <c r="O121" i="8"/>
  <c r="P121" i="8" s="1"/>
  <c r="O149" i="8"/>
  <c r="P149" i="8" s="1"/>
  <c r="O55" i="8"/>
  <c r="P55" i="8" s="1"/>
  <c r="P148" i="8"/>
  <c r="O154" i="8"/>
  <c r="P154" i="8" s="1"/>
  <c r="O117" i="8"/>
  <c r="P117" i="8" s="1"/>
  <c r="O25" i="8"/>
  <c r="P25" i="8" s="1"/>
  <c r="O100" i="8"/>
  <c r="P100" i="8" s="1"/>
  <c r="O52" i="8"/>
  <c r="P52" i="8" s="1"/>
  <c r="O77" i="8"/>
  <c r="P77" i="8" s="1"/>
  <c r="O76" i="8"/>
  <c r="P76" i="8" s="1"/>
  <c r="O32" i="8"/>
  <c r="P32" i="8" s="1"/>
  <c r="O134" i="8"/>
  <c r="P134" i="8" s="1"/>
  <c r="O96" i="8"/>
  <c r="P96" i="8" s="1"/>
  <c r="O128" i="8"/>
  <c r="P128" i="8" s="1"/>
  <c r="O164" i="8"/>
  <c r="P164" i="8" s="1"/>
  <c r="O106" i="8"/>
  <c r="P106" i="8" s="1"/>
  <c r="O15" i="8"/>
  <c r="P15" i="8" s="1"/>
  <c r="O16" i="8"/>
  <c r="P16" i="8" s="1"/>
  <c r="O92" i="8"/>
  <c r="P92" i="8" s="1"/>
  <c r="O95" i="8"/>
  <c r="P95" i="8" s="1"/>
  <c r="O47" i="8"/>
  <c r="P47" i="8" s="1"/>
  <c r="O157" i="8"/>
  <c r="P157" i="8" s="1"/>
  <c r="O91" i="8"/>
  <c r="P91" i="8" s="1"/>
  <c r="O12" i="8"/>
  <c r="P12" i="8" s="1"/>
  <c r="O18" i="8"/>
  <c r="P18" i="8" s="1"/>
  <c r="O39" i="8"/>
  <c r="P39" i="8" s="1"/>
  <c r="O150" i="8"/>
  <c r="P150" i="8" s="1"/>
  <c r="O123" i="8"/>
  <c r="P123" i="8" s="1"/>
  <c r="O38" i="8"/>
  <c r="P38" i="8" s="1"/>
  <c r="O21" i="8"/>
  <c r="P21" i="8" s="1"/>
  <c r="O145" i="8"/>
  <c r="P145" i="8" s="1"/>
  <c r="O109" i="8"/>
  <c r="P109" i="8" s="1"/>
  <c r="O69" i="8"/>
  <c r="P69" i="8" s="1"/>
  <c r="O23" i="8"/>
  <c r="P23" i="8" s="1"/>
  <c r="O44" i="8"/>
  <c r="P44" i="8" s="1"/>
  <c r="O158" i="8"/>
  <c r="P158" i="8" s="1"/>
  <c r="O101" i="8"/>
  <c r="P101" i="8" s="1"/>
  <c r="O160" i="8"/>
  <c r="P160" i="8" s="1"/>
  <c r="O161" i="8"/>
  <c r="P161" i="8" s="1"/>
  <c r="O99" i="8"/>
  <c r="P99" i="8" s="1"/>
  <c r="O29" i="8"/>
  <c r="P29" i="8" s="1"/>
  <c r="O22" i="8"/>
  <c r="P22" i="8" s="1"/>
  <c r="O49" i="8"/>
  <c r="P49" i="8" s="1"/>
  <c r="O64" i="8"/>
  <c r="P64" i="8" s="1"/>
  <c r="O70" i="8"/>
  <c r="P70" i="8" s="1"/>
  <c r="O30" i="8"/>
  <c r="P30" i="8" s="1"/>
  <c r="O168" i="8"/>
  <c r="P168" i="8" s="1"/>
  <c r="O159" i="8"/>
  <c r="P159" i="8" s="1"/>
  <c r="O94" i="8"/>
  <c r="P94" i="8" s="1"/>
  <c r="O153" i="8"/>
  <c r="P153" i="8" s="1"/>
  <c r="O107" i="8"/>
  <c r="P107" i="8" s="1"/>
  <c r="O112" i="8"/>
  <c r="P112" i="8" s="1"/>
  <c r="O75" i="8"/>
  <c r="P75" i="8" s="1"/>
  <c r="O4" i="8"/>
  <c r="P4" i="8" s="1"/>
  <c r="O124" i="8"/>
  <c r="P124" i="8" s="1"/>
  <c r="O139" i="8"/>
  <c r="P139" i="8" s="1"/>
  <c r="O9" i="8"/>
  <c r="P9" i="8" s="1"/>
  <c r="O116" i="8"/>
  <c r="P116" i="8" s="1"/>
  <c r="O115" i="8"/>
  <c r="P115" i="8" s="1"/>
  <c r="O108" i="8"/>
  <c r="P108" i="8" s="1"/>
  <c r="O155" i="8"/>
  <c r="P155" i="8" s="1"/>
  <c r="O20" i="8"/>
  <c r="P20" i="8" s="1"/>
  <c r="O167" i="8"/>
  <c r="P167" i="8" s="1"/>
  <c r="O113" i="8"/>
  <c r="P113" i="8" s="1"/>
  <c r="O173" i="8"/>
  <c r="P173" i="8" s="1"/>
  <c r="O140" i="8"/>
  <c r="P140" i="8" s="1"/>
  <c r="O43" i="8"/>
  <c r="P43" i="8" s="1"/>
  <c r="O45" i="8"/>
  <c r="P45" i="8" s="1"/>
  <c r="O78" i="8"/>
  <c r="P78" i="8" s="1"/>
  <c r="O24" i="8"/>
  <c r="P24" i="8" s="1"/>
  <c r="O33" i="8"/>
  <c r="O5" i="8"/>
  <c r="O90" i="8"/>
  <c r="P90" i="8" s="1"/>
  <c r="O50" i="8"/>
  <c r="P50" i="8" s="1"/>
  <c r="O85" i="8"/>
  <c r="P85" i="8" s="1"/>
  <c r="O48" i="8"/>
  <c r="P48" i="8" s="1"/>
  <c r="O74" i="8"/>
  <c r="P74" i="8" s="1"/>
  <c r="O143" i="8"/>
  <c r="P143" i="8" s="1"/>
  <c r="O102" i="8"/>
  <c r="P102" i="8" s="1"/>
  <c r="O35" i="8"/>
  <c r="P35" i="8" s="1"/>
  <c r="O129" i="8"/>
  <c r="P129" i="8" s="1"/>
  <c r="O144" i="8"/>
  <c r="P144" i="8" s="1"/>
  <c r="O54" i="8"/>
  <c r="P54" i="8" s="1"/>
  <c r="O36" i="8"/>
  <c r="P36" i="8" s="1"/>
  <c r="O61" i="8"/>
  <c r="P61" i="8" s="1"/>
  <c r="O105" i="8"/>
  <c r="P105" i="8" s="1"/>
  <c r="O62" i="8"/>
  <c r="P62" i="8" s="1"/>
  <c r="O41" i="8"/>
  <c r="P41" i="8" s="1"/>
  <c r="O42" i="8"/>
  <c r="P42" i="8" s="1"/>
  <c r="O71" i="8"/>
  <c r="P71" i="8" s="1"/>
  <c r="O72" i="8"/>
  <c r="P72" i="8" s="1"/>
  <c r="O111" i="8"/>
  <c r="P111" i="8" s="1"/>
  <c r="O142" i="8"/>
  <c r="P142" i="8" s="1"/>
  <c r="O27" i="8"/>
  <c r="P27" i="8" s="1"/>
  <c r="O131" i="8"/>
  <c r="P131" i="8" s="1"/>
  <c r="O73" i="8"/>
  <c r="P73" i="8" s="1"/>
  <c r="O65" i="8"/>
  <c r="P65" i="8" s="1"/>
  <c r="O19" i="8"/>
  <c r="P19" i="8" s="1"/>
  <c r="O171" i="8"/>
  <c r="P171" i="8" s="1"/>
  <c r="O37" i="8"/>
  <c r="P37" i="8" s="1"/>
  <c r="O141" i="8"/>
  <c r="P141" i="8" s="1"/>
  <c r="O152" i="8"/>
  <c r="P152" i="8" s="1"/>
  <c r="O135" i="8"/>
  <c r="P135" i="8" s="1"/>
  <c r="O86" i="8"/>
  <c r="P86" i="8" s="1"/>
  <c r="O163" i="8"/>
  <c r="P163" i="8" s="1"/>
  <c r="O8" i="8"/>
  <c r="P8" i="8" s="1"/>
  <c r="O120" i="8"/>
  <c r="P120" i="8" s="1"/>
  <c r="P151" i="8"/>
  <c r="P7" i="8"/>
  <c r="O79" i="8"/>
  <c r="P79" i="8" s="1"/>
  <c r="P80" i="8"/>
  <c r="O147" i="8"/>
  <c r="P147" i="8" s="1"/>
  <c r="O58" i="8"/>
  <c r="P58" i="8" s="1"/>
  <c r="O88" i="8"/>
  <c r="P88" i="8" s="1"/>
  <c r="O127" i="8"/>
  <c r="P127" i="8" s="1"/>
  <c r="O114" i="8"/>
  <c r="P114" i="8" s="1"/>
  <c r="O146" i="8"/>
  <c r="P146" i="8" s="1"/>
  <c r="O87" i="8"/>
  <c r="P87" i="8" s="1"/>
  <c r="O126" i="8"/>
  <c r="P126" i="8" s="1"/>
  <c r="O132" i="8"/>
  <c r="P132" i="8" s="1"/>
  <c r="O89" i="8"/>
  <c r="P89" i="8" s="1"/>
  <c r="O97" i="8"/>
  <c r="P97" i="8" s="1"/>
  <c r="O31" i="8"/>
  <c r="P31" i="8" s="1"/>
  <c r="O104" i="8"/>
  <c r="P104" i="8" s="1"/>
  <c r="O17" i="8"/>
  <c r="P17" i="8" s="1"/>
  <c r="O166" i="8"/>
  <c r="P166" i="8" s="1"/>
  <c r="O60" i="8"/>
  <c r="P60" i="8" s="1"/>
  <c r="P5" i="8" l="1"/>
  <c r="P33" i="8"/>
  <c r="W56" i="9"/>
  <c r="W44" i="9"/>
  <c r="X44" i="9" s="1"/>
  <c r="W8" i="9"/>
  <c r="W7" i="9"/>
  <c r="W5" i="9"/>
  <c r="W4" i="9"/>
  <c r="W3" i="9"/>
  <c r="W29" i="9"/>
  <c r="W92" i="9"/>
  <c r="W74" i="9"/>
  <c r="W71" i="9"/>
  <c r="W70" i="9"/>
  <c r="W68" i="9"/>
  <c r="W67" i="9"/>
  <c r="W64" i="9"/>
  <c r="W63" i="9"/>
  <c r="W62" i="9"/>
  <c r="W60" i="9"/>
  <c r="W59" i="9"/>
  <c r="W58" i="9"/>
  <c r="W57" i="9"/>
  <c r="W54" i="9"/>
  <c r="W52" i="9"/>
  <c r="W50" i="9"/>
  <c r="W49" i="9"/>
  <c r="W42" i="9"/>
  <c r="W36" i="9"/>
  <c r="W35" i="9"/>
  <c r="W32" i="9"/>
  <c r="W17" i="9"/>
  <c r="W26" i="9" l="1"/>
  <c r="W23" i="9"/>
  <c r="W25" i="9"/>
  <c r="W21" i="9"/>
  <c r="W20" i="9"/>
  <c r="W19" i="9"/>
  <c r="W18" i="9"/>
  <c r="T60" i="8" l="1"/>
  <c r="X3" i="9" l="1"/>
  <c r="X4" i="9"/>
  <c r="X5" i="9"/>
  <c r="X6" i="9"/>
  <c r="X7" i="9"/>
  <c r="X8" i="9"/>
  <c r="X9" i="9"/>
  <c r="X10" i="9"/>
  <c r="X11" i="9"/>
  <c r="X12" i="9"/>
  <c r="X13" i="9"/>
  <c r="X14" i="9"/>
  <c r="X15" i="9"/>
  <c r="X16" i="9"/>
  <c r="X17" i="9"/>
  <c r="X18" i="9"/>
  <c r="X19" i="9"/>
  <c r="X20" i="9"/>
  <c r="X21" i="9"/>
  <c r="X23" i="9"/>
  <c r="X24" i="9"/>
  <c r="X25" i="9"/>
  <c r="X26" i="9"/>
  <c r="X27" i="9"/>
  <c r="X28" i="9"/>
  <c r="X29" i="9"/>
  <c r="X30" i="9"/>
  <c r="X31" i="9"/>
  <c r="X32" i="9"/>
  <c r="X33" i="9"/>
  <c r="X34" i="9"/>
  <c r="X35" i="9"/>
  <c r="X36" i="9"/>
  <c r="X37" i="9"/>
  <c r="X38" i="9"/>
  <c r="X39" i="9"/>
  <c r="X41" i="9"/>
  <c r="X42" i="9"/>
  <c r="X43" i="9"/>
  <c r="X48" i="9"/>
  <c r="X49" i="9"/>
  <c r="X50" i="9"/>
  <c r="X51" i="9"/>
  <c r="X52" i="9"/>
  <c r="X53" i="9"/>
  <c r="X54" i="9"/>
  <c r="X55" i="9"/>
  <c r="X56" i="9"/>
  <c r="X57" i="9"/>
  <c r="X58" i="9"/>
  <c r="X59" i="9"/>
  <c r="X60" i="9"/>
  <c r="X61" i="9"/>
  <c r="X62" i="9"/>
  <c r="X63" i="9"/>
  <c r="X64" i="9"/>
  <c r="X65" i="9"/>
  <c r="X66" i="9"/>
  <c r="X67" i="9"/>
  <c r="X68" i="9"/>
  <c r="X69" i="9"/>
  <c r="X70" i="9"/>
  <c r="X71" i="9"/>
  <c r="X72" i="9"/>
  <c r="X73" i="9"/>
  <c r="X74" i="9"/>
  <c r="X75" i="9"/>
  <c r="X76" i="9"/>
  <c r="X77" i="9"/>
  <c r="X78" i="9"/>
  <c r="X79" i="9"/>
  <c r="X80" i="9"/>
  <c r="X81" i="9"/>
  <c r="X82" i="9"/>
  <c r="X83" i="9"/>
  <c r="X84" i="9"/>
  <c r="X85" i="9"/>
  <c r="X86" i="9"/>
  <c r="X87" i="9"/>
  <c r="X88" i="9"/>
  <c r="X89" i="9"/>
  <c r="X90" i="9"/>
  <c r="X91" i="9"/>
  <c r="X92" i="9"/>
  <c r="X93" i="9"/>
  <c r="X94" i="9"/>
  <c r="X95" i="9"/>
  <c r="X96" i="9"/>
  <c r="X97" i="9"/>
  <c r="X98" i="9"/>
  <c r="U60" i="8" l="1"/>
  <c r="T57" i="8"/>
  <c r="U57" i="8" s="1"/>
  <c r="T56" i="8"/>
  <c r="U56" i="8" s="1"/>
  <c r="T110" i="8"/>
  <c r="U110" i="8" s="1"/>
  <c r="T67" i="8"/>
  <c r="U67" i="8" s="1"/>
  <c r="T66" i="8"/>
  <c r="U66" i="8" s="1"/>
  <c r="T26" i="8"/>
  <c r="U26" i="8" s="1"/>
  <c r="T130" i="8"/>
  <c r="U130" i="8" s="1"/>
  <c r="T3" i="8"/>
  <c r="U3" i="8" s="1"/>
  <c r="T162" i="8"/>
  <c r="U162" i="8" s="1"/>
  <c r="T82" i="8"/>
  <c r="U82" i="8" s="1"/>
  <c r="T136" i="8"/>
  <c r="U136" i="8" s="1"/>
  <c r="T84" i="8"/>
  <c r="U84" i="8" s="1"/>
  <c r="T83" i="8"/>
  <c r="U83" i="8" s="1"/>
  <c r="T170" i="8"/>
  <c r="U170" i="8" s="1"/>
  <c r="T68" i="8"/>
  <c r="U68" i="8" s="1"/>
  <c r="T28" i="8"/>
  <c r="U28" i="8" s="1"/>
  <c r="T34" i="8"/>
  <c r="U34" i="8" s="1"/>
  <c r="U10" i="8"/>
  <c r="T40" i="8"/>
  <c r="U40" i="8" s="1"/>
  <c r="T118" i="8"/>
  <c r="U118" i="8" s="1"/>
  <c r="T98" i="8"/>
  <c r="U98" i="8" s="1"/>
  <c r="T137" i="8"/>
  <c r="U137" i="8" s="1"/>
  <c r="T63" i="8"/>
  <c r="U63" i="8" s="1"/>
  <c r="T138" i="8"/>
  <c r="U138" i="8" s="1"/>
  <c r="T11" i="8"/>
  <c r="U11" i="8" s="1"/>
  <c r="T121" i="8"/>
  <c r="U121" i="8" s="1"/>
  <c r="T149" i="8"/>
  <c r="U149" i="8" s="1"/>
  <c r="T55" i="8"/>
  <c r="U55" i="8" s="1"/>
  <c r="T154" i="8"/>
  <c r="U154" i="8" s="1"/>
  <c r="T117" i="8"/>
  <c r="U117" i="8" s="1"/>
  <c r="T25" i="8"/>
  <c r="U25" i="8" s="1"/>
  <c r="T100" i="8"/>
  <c r="U100" i="8" s="1"/>
  <c r="T52" i="8"/>
  <c r="U52" i="8" s="1"/>
  <c r="T77" i="8"/>
  <c r="U77" i="8" s="1"/>
  <c r="T76" i="8"/>
  <c r="U76" i="8" s="1"/>
  <c r="T32" i="8"/>
  <c r="U32" i="8" s="1"/>
  <c r="T134" i="8"/>
  <c r="U134" i="8" s="1"/>
  <c r="T96" i="8"/>
  <c r="U96" i="8" s="1"/>
  <c r="T128" i="8"/>
  <c r="U128" i="8" s="1"/>
  <c r="T164" i="8"/>
  <c r="U164" i="8" s="1"/>
  <c r="T106" i="8"/>
  <c r="U106" i="8" s="1"/>
  <c r="T15" i="8"/>
  <c r="U15" i="8" s="1"/>
  <c r="T16" i="8"/>
  <c r="U16" i="8" s="1"/>
  <c r="T92" i="8"/>
  <c r="U92" i="8" s="1"/>
  <c r="T95" i="8"/>
  <c r="U95" i="8" s="1"/>
  <c r="T47" i="8"/>
  <c r="U47" i="8" s="1"/>
  <c r="T157" i="8"/>
  <c r="U157" i="8" s="1"/>
  <c r="T91" i="8"/>
  <c r="U91" i="8" s="1"/>
  <c r="T12" i="8"/>
  <c r="U12" i="8" s="1"/>
  <c r="T18" i="8"/>
  <c r="U18" i="8" s="1"/>
  <c r="T39" i="8"/>
  <c r="U39" i="8" s="1"/>
  <c r="T150" i="8"/>
  <c r="U150" i="8" s="1"/>
  <c r="T123" i="8"/>
  <c r="U123" i="8" s="1"/>
  <c r="T38" i="8"/>
  <c r="U38" i="8" s="1"/>
  <c r="T21" i="8"/>
  <c r="U21" i="8" s="1"/>
  <c r="T145" i="8"/>
  <c r="U145" i="8" s="1"/>
  <c r="T109" i="8"/>
  <c r="U109" i="8" s="1"/>
  <c r="T69" i="8"/>
  <c r="U69" i="8" s="1"/>
  <c r="T23" i="8"/>
  <c r="U23" i="8" s="1"/>
  <c r="T44" i="8"/>
  <c r="U44" i="8" s="1"/>
  <c r="T158" i="8"/>
  <c r="U158" i="8" s="1"/>
  <c r="T101" i="8"/>
  <c r="U101" i="8" s="1"/>
  <c r="T160" i="8"/>
  <c r="U160" i="8" s="1"/>
  <c r="T161" i="8"/>
  <c r="U161" i="8" s="1"/>
  <c r="T99" i="8"/>
  <c r="U99" i="8" s="1"/>
  <c r="T29" i="8"/>
  <c r="U29" i="8" s="1"/>
  <c r="T22" i="8"/>
  <c r="U22" i="8" s="1"/>
  <c r="T49" i="8"/>
  <c r="U49" i="8" s="1"/>
  <c r="T64" i="8"/>
  <c r="U64" i="8" s="1"/>
  <c r="T70" i="8"/>
  <c r="U70" i="8" s="1"/>
  <c r="T30" i="8"/>
  <c r="U30" i="8" s="1"/>
  <c r="T168" i="8"/>
  <c r="U168" i="8" s="1"/>
  <c r="T159" i="8"/>
  <c r="U159" i="8" s="1"/>
  <c r="T94" i="8"/>
  <c r="U94" i="8" s="1"/>
  <c r="T153" i="8"/>
  <c r="U153" i="8" s="1"/>
  <c r="T107" i="8"/>
  <c r="U107" i="8" s="1"/>
  <c r="T112" i="8"/>
  <c r="U112" i="8" s="1"/>
  <c r="T75" i="8"/>
  <c r="U75" i="8" s="1"/>
  <c r="T4" i="8"/>
  <c r="U4" i="8" s="1"/>
  <c r="T124" i="8"/>
  <c r="U124" i="8" s="1"/>
  <c r="T139" i="8"/>
  <c r="U139" i="8" s="1"/>
  <c r="T9" i="8"/>
  <c r="U9" i="8" s="1"/>
  <c r="T116" i="8"/>
  <c r="U116" i="8" s="1"/>
  <c r="T115" i="8"/>
  <c r="U115" i="8" s="1"/>
  <c r="T108" i="8"/>
  <c r="U108" i="8" s="1"/>
  <c r="T155" i="8"/>
  <c r="U155" i="8" s="1"/>
  <c r="T20" i="8"/>
  <c r="U20" i="8" s="1"/>
  <c r="T167" i="8"/>
  <c r="U167" i="8" s="1"/>
  <c r="T113" i="8"/>
  <c r="U113" i="8" s="1"/>
  <c r="T173" i="8"/>
  <c r="U173" i="8" s="1"/>
  <c r="T140" i="8"/>
  <c r="U140" i="8" s="1"/>
  <c r="T43" i="8"/>
  <c r="U43" i="8" s="1"/>
  <c r="T45" i="8"/>
  <c r="U45" i="8" s="1"/>
  <c r="T78" i="8"/>
  <c r="U78" i="8" s="1"/>
  <c r="T24" i="8"/>
  <c r="U24" i="8" s="1"/>
  <c r="T33" i="8"/>
  <c r="U33" i="8" s="1"/>
  <c r="T5" i="8"/>
  <c r="U5" i="8" s="1"/>
  <c r="T90" i="8"/>
  <c r="U90" i="8" s="1"/>
  <c r="T50" i="8"/>
  <c r="U50" i="8" s="1"/>
  <c r="T85" i="8"/>
  <c r="U85" i="8" s="1"/>
  <c r="T48" i="8"/>
  <c r="U48" i="8" s="1"/>
  <c r="T74" i="8"/>
  <c r="U74" i="8" s="1"/>
  <c r="T143" i="8"/>
  <c r="U143" i="8" s="1"/>
  <c r="T102" i="8"/>
  <c r="U102" i="8" s="1"/>
  <c r="T35" i="8"/>
  <c r="U35" i="8" s="1"/>
  <c r="T129" i="8"/>
  <c r="U129" i="8" s="1"/>
  <c r="T144" i="8"/>
  <c r="U144" i="8" s="1"/>
  <c r="T54" i="8"/>
  <c r="U54" i="8" s="1"/>
  <c r="T36" i="8"/>
  <c r="U36" i="8" s="1"/>
  <c r="T61" i="8"/>
  <c r="U61" i="8" s="1"/>
  <c r="T105" i="8"/>
  <c r="U105" i="8" s="1"/>
  <c r="T62" i="8"/>
  <c r="U62" i="8" s="1"/>
  <c r="T41" i="8"/>
  <c r="U41" i="8" s="1"/>
  <c r="T42" i="8"/>
  <c r="U42" i="8" s="1"/>
  <c r="T71" i="8"/>
  <c r="U71" i="8" s="1"/>
  <c r="T72" i="8"/>
  <c r="U72" i="8" s="1"/>
  <c r="T111" i="8"/>
  <c r="U111" i="8" s="1"/>
  <c r="T142" i="8"/>
  <c r="U142" i="8" s="1"/>
  <c r="T27" i="8"/>
  <c r="U27" i="8" s="1"/>
  <c r="T131" i="8"/>
  <c r="U131" i="8" s="1"/>
  <c r="T73" i="8"/>
  <c r="U73" i="8" s="1"/>
  <c r="T65" i="8"/>
  <c r="U65" i="8" s="1"/>
  <c r="T19" i="8"/>
  <c r="U19" i="8" s="1"/>
  <c r="T171" i="8"/>
  <c r="U171" i="8" s="1"/>
  <c r="T37" i="8"/>
  <c r="U37" i="8" s="1"/>
  <c r="T141" i="8"/>
  <c r="U141" i="8" s="1"/>
  <c r="T152" i="8"/>
  <c r="U152" i="8" s="1"/>
  <c r="T135" i="8"/>
  <c r="U135" i="8" s="1"/>
  <c r="T86" i="8"/>
  <c r="U86" i="8" s="1"/>
  <c r="T163" i="8"/>
  <c r="U163" i="8" s="1"/>
  <c r="T8" i="8"/>
  <c r="U8" i="8" s="1"/>
  <c r="T120" i="8"/>
  <c r="U120" i="8" s="1"/>
  <c r="U151" i="8"/>
  <c r="U7" i="8"/>
  <c r="T79" i="8"/>
  <c r="U79" i="8" s="1"/>
  <c r="U80" i="8"/>
  <c r="T147" i="8"/>
  <c r="U147" i="8" s="1"/>
  <c r="T58" i="8"/>
  <c r="U58" i="8" s="1"/>
  <c r="T88" i="8"/>
  <c r="U88" i="8" s="1"/>
  <c r="T127" i="8"/>
  <c r="U127" i="8" s="1"/>
  <c r="T114" i="8"/>
  <c r="U114" i="8" s="1"/>
  <c r="T146" i="8"/>
  <c r="U146" i="8" s="1"/>
  <c r="T87" i="8"/>
  <c r="U87" i="8" s="1"/>
  <c r="T126" i="8"/>
  <c r="U126" i="8" s="1"/>
  <c r="T132" i="8"/>
  <c r="U132" i="8" s="1"/>
  <c r="T89" i="8"/>
  <c r="U89" i="8" s="1"/>
  <c r="T97" i="8"/>
  <c r="U97" i="8" s="1"/>
  <c r="T31" i="8"/>
  <c r="U31" i="8" s="1"/>
  <c r="T104" i="8"/>
  <c r="U104" i="8" s="1"/>
  <c r="T17" i="8"/>
  <c r="U17" i="8" s="1"/>
  <c r="T166" i="8"/>
  <c r="U166" i="8" s="1"/>
  <c r="CL77" i="9"/>
  <c r="CL72" i="9"/>
  <c r="CL87" i="9"/>
  <c r="CL88" i="9"/>
  <c r="CL89" i="9"/>
  <c r="CL90" i="9"/>
  <c r="CL91" i="9"/>
  <c r="CL92" i="9"/>
  <c r="CL93" i="9"/>
  <c r="CL94" i="9"/>
  <c r="CL95" i="9"/>
  <c r="CL96" i="9"/>
  <c r="CL97" i="9"/>
  <c r="CL98" i="9"/>
  <c r="CL3" i="9"/>
  <c r="CL4" i="9"/>
  <c r="CL5" i="9"/>
  <c r="CL6" i="9"/>
  <c r="CL7" i="9"/>
  <c r="CL8" i="9"/>
  <c r="CL9" i="9"/>
  <c r="CL10" i="9"/>
  <c r="CL11" i="9"/>
  <c r="CL12" i="9"/>
  <c r="CL13" i="9"/>
  <c r="CL14" i="9"/>
  <c r="CL15" i="9"/>
  <c r="CL16" i="9"/>
  <c r="CL17" i="9"/>
  <c r="CL18" i="9"/>
  <c r="CL19" i="9"/>
  <c r="CL20" i="9"/>
  <c r="CL21" i="9"/>
  <c r="CL22" i="9"/>
  <c r="CL23" i="9"/>
  <c r="CL24" i="9"/>
  <c r="CL25" i="9"/>
  <c r="CL26" i="9"/>
  <c r="CL27" i="9"/>
  <c r="CL28" i="9"/>
  <c r="CL29" i="9"/>
  <c r="CL30" i="9"/>
  <c r="CL31" i="9"/>
  <c r="CL32" i="9"/>
  <c r="CL33" i="9"/>
  <c r="CL34" i="9"/>
  <c r="CL35" i="9"/>
  <c r="CL36" i="9"/>
  <c r="CL37" i="9"/>
  <c r="CL38" i="9"/>
  <c r="CL39" i="9"/>
  <c r="CL40" i="9"/>
  <c r="CL41" i="9"/>
  <c r="CL42" i="9"/>
  <c r="CL43" i="9"/>
  <c r="CL44" i="9"/>
  <c r="CL48" i="9"/>
  <c r="CL49" i="9"/>
  <c r="CL50" i="9"/>
  <c r="CL51" i="9"/>
  <c r="CL52" i="9"/>
  <c r="CL53" i="9"/>
  <c r="CL54" i="9"/>
  <c r="CL55" i="9"/>
  <c r="CL56" i="9"/>
  <c r="CL57" i="9"/>
  <c r="CL58" i="9"/>
  <c r="CL59" i="9"/>
  <c r="CL60" i="9"/>
  <c r="CL61" i="9"/>
  <c r="CL62" i="9"/>
  <c r="CL63" i="9"/>
  <c r="CL64" i="9"/>
  <c r="CL65" i="9"/>
  <c r="CL66" i="9"/>
  <c r="CL67" i="9"/>
  <c r="CL68" i="9"/>
  <c r="CL69" i="9"/>
  <c r="CL70" i="9"/>
  <c r="CL71" i="9"/>
  <c r="CL73" i="9"/>
  <c r="CL74" i="9"/>
  <c r="CL75" i="9"/>
  <c r="CL76" i="9"/>
  <c r="CL78" i="9"/>
  <c r="CL79" i="9"/>
  <c r="CL80" i="9"/>
  <c r="CL81" i="9"/>
  <c r="CL82" i="9"/>
  <c r="CL83" i="9"/>
  <c r="CL84" i="9"/>
  <c r="CL85" i="9"/>
  <c r="CL86" i="9"/>
  <c r="BU60" i="8"/>
  <c r="BU57" i="8"/>
  <c r="BU56" i="8"/>
  <c r="BU110" i="8"/>
  <c r="BU67" i="8"/>
  <c r="BU66" i="8"/>
  <c r="BU26" i="8"/>
  <c r="BU130" i="8"/>
  <c r="BU3" i="8"/>
  <c r="BU162" i="8"/>
  <c r="BU82" i="8"/>
  <c r="BU136" i="8"/>
  <c r="BU84" i="8"/>
  <c r="BU83" i="8"/>
  <c r="BU170" i="8"/>
  <c r="BU68" i="8"/>
  <c r="BU28" i="8"/>
  <c r="BU34" i="8"/>
  <c r="BU10" i="8"/>
  <c r="BU40" i="8"/>
  <c r="BU118" i="8"/>
  <c r="BU98" i="8"/>
  <c r="BU137" i="8"/>
  <c r="BU63" i="8"/>
  <c r="BU138" i="8"/>
  <c r="BU11" i="8"/>
  <c r="BU121" i="8"/>
  <c r="BU149" i="8"/>
  <c r="BU55" i="8"/>
  <c r="BU148" i="8"/>
  <c r="BU154" i="8"/>
  <c r="BU117" i="8"/>
  <c r="BU25" i="8"/>
  <c r="BU100" i="8"/>
  <c r="BU52" i="8"/>
  <c r="BU77" i="8"/>
  <c r="BU76" i="8"/>
  <c r="BU32" i="8"/>
  <c r="BU134" i="8"/>
  <c r="BU96" i="8"/>
  <c r="BU128" i="8"/>
  <c r="BU164" i="8"/>
  <c r="BU106" i="8"/>
  <c r="BU15" i="8"/>
  <c r="BU16" i="8"/>
  <c r="BU92" i="8"/>
  <c r="BU95" i="8"/>
  <c r="BU47" i="8"/>
  <c r="BU157" i="8"/>
  <c r="BU91" i="8"/>
  <c r="BU12" i="8"/>
  <c r="BU18" i="8"/>
  <c r="BU39" i="8"/>
  <c r="BU150" i="8"/>
  <c r="BU123" i="8"/>
  <c r="BU38" i="8"/>
  <c r="BU21" i="8"/>
  <c r="BU145" i="8"/>
  <c r="BU109" i="8"/>
  <c r="BU69" i="8"/>
  <c r="BU23" i="8"/>
  <c r="BU44" i="8"/>
  <c r="BU158" i="8"/>
  <c r="BU101" i="8"/>
  <c r="BU160" i="8"/>
  <c r="BU161" i="8"/>
  <c r="BU99" i="8"/>
  <c r="BU29" i="8"/>
  <c r="BU22" i="8"/>
  <c r="BU49" i="8"/>
  <c r="BU64" i="8"/>
  <c r="BU70" i="8"/>
  <c r="BU30" i="8"/>
  <c r="BU168" i="8"/>
  <c r="BU159" i="8"/>
  <c r="BU94" i="8"/>
  <c r="BU153" i="8"/>
  <c r="BU107" i="8"/>
  <c r="BU112" i="8"/>
  <c r="BU75" i="8"/>
  <c r="BU4" i="8"/>
  <c r="BU124" i="8"/>
  <c r="BU139" i="8"/>
  <c r="BU9" i="8"/>
  <c r="BU116" i="8"/>
  <c r="BU115" i="8"/>
  <c r="BU108" i="8"/>
  <c r="BU155" i="8"/>
  <c r="BU20" i="8"/>
  <c r="BU167" i="8"/>
  <c r="BU113" i="8"/>
  <c r="BU173" i="8"/>
  <c r="BU140" i="8"/>
  <c r="BU43" i="8"/>
  <c r="BU45" i="8"/>
  <c r="BU78" i="8"/>
  <c r="BU24" i="8"/>
  <c r="BU33" i="8"/>
  <c r="BU5" i="8"/>
  <c r="BU90" i="8"/>
  <c r="BU50" i="8"/>
  <c r="BU85" i="8"/>
  <c r="BU48" i="8"/>
  <c r="BU74" i="8"/>
  <c r="BU143" i="8"/>
  <c r="BU102" i="8"/>
  <c r="BU35" i="8"/>
  <c r="BU129" i="8"/>
  <c r="BU144" i="8"/>
  <c r="BU54" i="8"/>
  <c r="BU36" i="8"/>
  <c r="BU61" i="8"/>
  <c r="BU105" i="8"/>
  <c r="BU62" i="8"/>
  <c r="BU41" i="8"/>
  <c r="BU42" i="8"/>
  <c r="BU71" i="8"/>
  <c r="BU72" i="8"/>
  <c r="BU111" i="8"/>
  <c r="BU142" i="8"/>
  <c r="BU27" i="8"/>
  <c r="BU131" i="8"/>
  <c r="BU73" i="8"/>
  <c r="BU65" i="8"/>
  <c r="BU19" i="8"/>
  <c r="BU171" i="8"/>
  <c r="BU37" i="8"/>
  <c r="BU141" i="8"/>
  <c r="BU152" i="8"/>
  <c r="BU135" i="8"/>
  <c r="BU86" i="8"/>
  <c r="BU163" i="8"/>
  <c r="BU8" i="8"/>
  <c r="BU120" i="8"/>
  <c r="BU151" i="8"/>
  <c r="BU7" i="8"/>
  <c r="BU79" i="8"/>
  <c r="BU80" i="8"/>
  <c r="BU147" i="8"/>
  <c r="BU58" i="8"/>
  <c r="BU88" i="8"/>
  <c r="BU127" i="8"/>
  <c r="BU114" i="8"/>
  <c r="BU146" i="8"/>
  <c r="BU87" i="8"/>
  <c r="BU126" i="8"/>
  <c r="BU132" i="8"/>
  <c r="BU89" i="8"/>
  <c r="BU97" i="8"/>
  <c r="BU31" i="8"/>
  <c r="BU104" i="8"/>
  <c r="BU17" i="8"/>
  <c r="BU166" i="8"/>
  <c r="AV98" i="9"/>
  <c r="BB98" i="9"/>
  <c r="BH98" i="9"/>
  <c r="BN98" i="9"/>
  <c r="BT98" i="9"/>
  <c r="BZ98" i="9"/>
  <c r="CF98" i="9"/>
  <c r="AK166" i="8"/>
  <c r="AL166" i="8" s="1"/>
  <c r="AP166" i="8"/>
  <c r="AQ166" i="8" s="1"/>
  <c r="AU166" i="8"/>
  <c r="AV166" i="8" s="1"/>
  <c r="AZ166" i="8"/>
  <c r="BA166" i="8" s="1"/>
  <c r="BE166" i="8"/>
  <c r="BF166" i="8" s="1"/>
  <c r="BJ166" i="8"/>
  <c r="BK166" i="8" s="1"/>
  <c r="BO166" i="8"/>
  <c r="BP166" i="8" s="1"/>
  <c r="AK115" i="8"/>
  <c r="AL115" i="8" s="1"/>
  <c r="AP115" i="8"/>
  <c r="AQ115" i="8" s="1"/>
  <c r="AU115" i="8"/>
  <c r="AV115" i="8" s="1"/>
  <c r="AZ115" i="8"/>
  <c r="BA115" i="8" s="1"/>
  <c r="BE115" i="8"/>
  <c r="BF115" i="8" s="1"/>
  <c r="BJ115" i="8"/>
  <c r="BK115" i="8" s="1"/>
  <c r="BO115" i="8"/>
  <c r="BP115" i="8" s="1"/>
  <c r="AK66" i="8"/>
  <c r="AL66" i="8" s="1"/>
  <c r="AP66" i="8"/>
  <c r="AQ66" i="8" s="1"/>
  <c r="AU66" i="8"/>
  <c r="AV66" i="8" s="1"/>
  <c r="AZ66" i="8"/>
  <c r="BA66" i="8" s="1"/>
  <c r="BE66" i="8"/>
  <c r="BF66" i="8" s="1"/>
  <c r="BJ66" i="8"/>
  <c r="BK66" i="8" s="1"/>
  <c r="BO66" i="8"/>
  <c r="BP66" i="8" s="1"/>
  <c r="AK83" i="8"/>
  <c r="AL83" i="8" s="1"/>
  <c r="AP83" i="8"/>
  <c r="AQ83" i="8" s="1"/>
  <c r="AU83" i="8"/>
  <c r="AV83" i="8" s="1"/>
  <c r="AZ83" i="8"/>
  <c r="BA83" i="8" s="1"/>
  <c r="BE83" i="8"/>
  <c r="BF83" i="8" s="1"/>
  <c r="BJ83" i="8"/>
  <c r="BK83" i="8" s="1"/>
  <c r="BO83" i="8"/>
  <c r="BP83" i="8" s="1"/>
  <c r="AK16" i="8"/>
  <c r="AL16" i="8" s="1"/>
  <c r="AP16" i="8"/>
  <c r="AQ16" i="8" s="1"/>
  <c r="AU16" i="8"/>
  <c r="AV16" i="8" s="1"/>
  <c r="AZ16" i="8"/>
  <c r="BA16" i="8" s="1"/>
  <c r="BE16" i="8"/>
  <c r="BF16" i="8" s="1"/>
  <c r="BJ16" i="8"/>
  <c r="BK16" i="8" s="1"/>
  <c r="BO16" i="8"/>
  <c r="BP16" i="8" s="1"/>
  <c r="AK56" i="8"/>
  <c r="AL56" i="8" s="1"/>
  <c r="AP56" i="8"/>
  <c r="AQ56" i="8" s="1"/>
  <c r="AU56" i="8"/>
  <c r="AV56" i="8" s="1"/>
  <c r="AZ56" i="8"/>
  <c r="BA56" i="8" s="1"/>
  <c r="BE56" i="8"/>
  <c r="BF56" i="8" s="1"/>
  <c r="BJ56" i="8"/>
  <c r="BK56" i="8" s="1"/>
  <c r="BO56" i="8"/>
  <c r="BP56" i="8" s="1"/>
  <c r="AK17" i="8"/>
  <c r="AL17" i="8" s="1"/>
  <c r="AP17" i="8"/>
  <c r="AQ17" i="8" s="1"/>
  <c r="AU17" i="8"/>
  <c r="AV17" i="8" s="1"/>
  <c r="AZ17" i="8"/>
  <c r="BA17" i="8" s="1"/>
  <c r="BE17" i="8"/>
  <c r="BF17" i="8" s="1"/>
  <c r="BJ17" i="8"/>
  <c r="BK17" i="8" s="1"/>
  <c r="BO17" i="8"/>
  <c r="BP17" i="8" s="1"/>
  <c r="AK104" i="8"/>
  <c r="AL104" i="8" s="1"/>
  <c r="AP104" i="8"/>
  <c r="AQ104" i="8" s="1"/>
  <c r="AU104" i="8"/>
  <c r="AV104" i="8" s="1"/>
  <c r="AZ104" i="8"/>
  <c r="BA104" i="8" s="1"/>
  <c r="BE104" i="8"/>
  <c r="BF104" i="8" s="1"/>
  <c r="BJ104" i="8"/>
  <c r="BK104" i="8" s="1"/>
  <c r="BO104" i="8"/>
  <c r="BP104" i="8" s="1"/>
  <c r="BT3" i="9" l="1"/>
  <c r="BT4" i="9"/>
  <c r="BT5" i="9"/>
  <c r="BT6" i="9"/>
  <c r="BT7" i="9"/>
  <c r="BT8" i="9"/>
  <c r="BT9" i="9"/>
  <c r="BT10" i="9"/>
  <c r="BT11" i="9"/>
  <c r="BT12" i="9"/>
  <c r="BT13" i="9"/>
  <c r="BT14" i="9"/>
  <c r="BT15" i="9"/>
  <c r="BT16" i="9"/>
  <c r="BT17" i="9"/>
  <c r="BT18" i="9"/>
  <c r="BT19" i="9"/>
  <c r="BT20" i="9"/>
  <c r="BT21" i="9"/>
  <c r="BT22" i="9"/>
  <c r="BT23" i="9"/>
  <c r="BT24" i="9"/>
  <c r="BT25" i="9"/>
  <c r="BT26" i="9"/>
  <c r="BT27" i="9"/>
  <c r="BT28" i="9"/>
  <c r="BT29" i="9"/>
  <c r="BT30" i="9"/>
  <c r="BT31" i="9"/>
  <c r="BT32" i="9"/>
  <c r="BT33" i="9"/>
  <c r="BT34" i="9"/>
  <c r="BT35" i="9"/>
  <c r="BT36" i="9"/>
  <c r="BT37" i="9"/>
  <c r="BT38" i="9"/>
  <c r="BT39" i="9"/>
  <c r="BT40" i="9"/>
  <c r="BT41" i="9"/>
  <c r="BT42" i="9"/>
  <c r="BT43" i="9"/>
  <c r="BT44" i="9"/>
  <c r="BT48" i="9"/>
  <c r="BT49" i="9"/>
  <c r="BT50" i="9"/>
  <c r="BT51" i="9"/>
  <c r="BT52" i="9"/>
  <c r="BT53" i="9"/>
  <c r="BT54" i="9"/>
  <c r="BT55" i="9"/>
  <c r="BT56" i="9"/>
  <c r="BT57" i="9"/>
  <c r="BT58" i="9"/>
  <c r="BT59" i="9"/>
  <c r="BT60" i="9"/>
  <c r="BT61" i="9"/>
  <c r="BT62" i="9"/>
  <c r="BT63" i="9"/>
  <c r="BT64" i="9"/>
  <c r="BT65" i="9"/>
  <c r="BT66" i="9"/>
  <c r="BT67" i="9"/>
  <c r="BT68" i="9"/>
  <c r="BT69" i="9"/>
  <c r="BT70" i="9"/>
  <c r="BT71" i="9"/>
  <c r="BT72" i="9"/>
  <c r="BT73" i="9"/>
  <c r="BT74" i="9"/>
  <c r="BT75" i="9"/>
  <c r="BT76" i="9"/>
  <c r="BT77" i="9"/>
  <c r="BT78" i="9"/>
  <c r="BT79" i="9"/>
  <c r="BT80" i="9"/>
  <c r="BT81" i="9"/>
  <c r="BT82" i="9"/>
  <c r="BT83" i="9"/>
  <c r="BT84" i="9"/>
  <c r="BT85" i="9"/>
  <c r="BT86" i="9"/>
  <c r="BT87" i="9"/>
  <c r="BT88" i="9"/>
  <c r="BT89" i="9"/>
  <c r="BT90" i="9"/>
  <c r="BT91" i="9"/>
  <c r="BT92" i="9"/>
  <c r="BT93" i="9"/>
  <c r="BT94" i="9"/>
  <c r="BT95" i="9"/>
  <c r="BT96" i="9"/>
  <c r="BT97" i="9"/>
  <c r="AV97" i="9"/>
  <c r="BB97" i="9"/>
  <c r="BH97" i="9"/>
  <c r="BN97" i="9"/>
  <c r="BZ97" i="9"/>
  <c r="CF97" i="9"/>
  <c r="AK31" i="8"/>
  <c r="AL31" i="8" s="1"/>
  <c r="AP31" i="8"/>
  <c r="AQ31" i="8" s="1"/>
  <c r="AU31" i="8"/>
  <c r="AV31" i="8" s="1"/>
  <c r="AZ31" i="8"/>
  <c r="BA31" i="8" s="1"/>
  <c r="BE31" i="8"/>
  <c r="BF31" i="8" s="1"/>
  <c r="BJ31" i="8"/>
  <c r="BK31" i="8" s="1"/>
  <c r="BO31" i="8"/>
  <c r="BP31" i="8" s="1"/>
  <c r="BZ96" i="9" l="1"/>
  <c r="BZ3" i="9"/>
  <c r="BZ4" i="9"/>
  <c r="BZ5" i="9"/>
  <c r="BZ6" i="9"/>
  <c r="BZ7" i="9"/>
  <c r="BZ8" i="9"/>
  <c r="BZ9" i="9"/>
  <c r="BZ10" i="9"/>
  <c r="BZ11" i="9"/>
  <c r="BZ12" i="9"/>
  <c r="BZ13" i="9"/>
  <c r="BZ14" i="9"/>
  <c r="BZ15" i="9"/>
  <c r="BZ16" i="9"/>
  <c r="BZ17" i="9"/>
  <c r="BZ18" i="9"/>
  <c r="BZ19" i="9"/>
  <c r="BZ20" i="9"/>
  <c r="BZ21" i="9"/>
  <c r="BZ22" i="9"/>
  <c r="BZ23" i="9"/>
  <c r="BZ24" i="9"/>
  <c r="BZ25" i="9"/>
  <c r="BZ26" i="9"/>
  <c r="BZ27" i="9"/>
  <c r="BZ28" i="9"/>
  <c r="BZ29" i="9"/>
  <c r="BZ30" i="9"/>
  <c r="BZ31" i="9"/>
  <c r="BZ32" i="9"/>
  <c r="BZ33" i="9"/>
  <c r="BZ34" i="9"/>
  <c r="BZ35" i="9"/>
  <c r="BZ36" i="9"/>
  <c r="BZ37" i="9"/>
  <c r="BZ38" i="9"/>
  <c r="BZ39" i="9"/>
  <c r="BZ40" i="9"/>
  <c r="BZ41" i="9"/>
  <c r="BZ42" i="9"/>
  <c r="BZ43" i="9"/>
  <c r="BZ44" i="9"/>
  <c r="BZ48" i="9"/>
  <c r="BZ49" i="9"/>
  <c r="BZ50" i="9"/>
  <c r="BZ51" i="9"/>
  <c r="BZ52" i="9"/>
  <c r="BZ53" i="9"/>
  <c r="BZ54" i="9"/>
  <c r="BZ55" i="9"/>
  <c r="BZ56" i="9"/>
  <c r="BZ57" i="9"/>
  <c r="BZ58" i="9"/>
  <c r="BZ59" i="9"/>
  <c r="BZ60" i="9"/>
  <c r="BZ61" i="9"/>
  <c r="BZ62" i="9"/>
  <c r="BZ63" i="9"/>
  <c r="BZ64" i="9"/>
  <c r="BZ65" i="9"/>
  <c r="BZ66" i="9"/>
  <c r="BZ67" i="9"/>
  <c r="BZ68" i="9"/>
  <c r="BZ69" i="9"/>
  <c r="BZ70" i="9"/>
  <c r="BZ71" i="9"/>
  <c r="BZ72" i="9"/>
  <c r="BZ73" i="9"/>
  <c r="BZ74" i="9"/>
  <c r="BZ75" i="9"/>
  <c r="BZ76" i="9"/>
  <c r="BZ77" i="9"/>
  <c r="BZ78" i="9"/>
  <c r="BZ79" i="9"/>
  <c r="BZ80" i="9"/>
  <c r="BZ81" i="9"/>
  <c r="BZ82" i="9"/>
  <c r="BZ83" i="9"/>
  <c r="BZ84" i="9"/>
  <c r="BZ85" i="9"/>
  <c r="BZ86" i="9"/>
  <c r="BZ87" i="9"/>
  <c r="BZ88" i="9"/>
  <c r="BZ89" i="9"/>
  <c r="BZ90" i="9"/>
  <c r="BZ91" i="9"/>
  <c r="BZ92" i="9"/>
  <c r="BZ93" i="9"/>
  <c r="BZ94" i="9"/>
  <c r="BZ95" i="9"/>
  <c r="CF9" i="9"/>
  <c r="CF3" i="9"/>
  <c r="CF4" i="9"/>
  <c r="CF5" i="9"/>
  <c r="CF6" i="9"/>
  <c r="CF7" i="9"/>
  <c r="CF8" i="9"/>
  <c r="CF10" i="9"/>
  <c r="CF11" i="9"/>
  <c r="CF12" i="9"/>
  <c r="CF13" i="9"/>
  <c r="CF14" i="9"/>
  <c r="CF15" i="9"/>
  <c r="CF16" i="9"/>
  <c r="CF17" i="9"/>
  <c r="CF18" i="9"/>
  <c r="CF19" i="9"/>
  <c r="CF20" i="9"/>
  <c r="CF21" i="9"/>
  <c r="CF22" i="9"/>
  <c r="CF23" i="9"/>
  <c r="CF24" i="9"/>
  <c r="CF25" i="9"/>
  <c r="CF26" i="9"/>
  <c r="CF27" i="9"/>
  <c r="CF28" i="9"/>
  <c r="CF29" i="9"/>
  <c r="CF30" i="9"/>
  <c r="CF31" i="9"/>
  <c r="CF32" i="9"/>
  <c r="CF33" i="9"/>
  <c r="CF34" i="9"/>
  <c r="CF35" i="9"/>
  <c r="CF36" i="9"/>
  <c r="CF37" i="9"/>
  <c r="CF38" i="9"/>
  <c r="CF39" i="9"/>
  <c r="CF40" i="9"/>
  <c r="CF41" i="9"/>
  <c r="CF42" i="9"/>
  <c r="CF43" i="9"/>
  <c r="CF44" i="9"/>
  <c r="CF48" i="9"/>
  <c r="CF49" i="9"/>
  <c r="CF50" i="9"/>
  <c r="CF51" i="9"/>
  <c r="CF52" i="9"/>
  <c r="CF53" i="9"/>
  <c r="CF54" i="9"/>
  <c r="CF55" i="9"/>
  <c r="CF56" i="9"/>
  <c r="CF57" i="9"/>
  <c r="CF58" i="9"/>
  <c r="CF59" i="9"/>
  <c r="CF60" i="9"/>
  <c r="CF61" i="9"/>
  <c r="CF62" i="9"/>
  <c r="CF63" i="9"/>
  <c r="CF64" i="9"/>
  <c r="CF65" i="9"/>
  <c r="CF66" i="9"/>
  <c r="CF67" i="9"/>
  <c r="CF68" i="9"/>
  <c r="CF69" i="9"/>
  <c r="CF70" i="9"/>
  <c r="CF71" i="9"/>
  <c r="CF72" i="9"/>
  <c r="CF73" i="9"/>
  <c r="CF74" i="9"/>
  <c r="CF75" i="9"/>
  <c r="CF76" i="9"/>
  <c r="CF77" i="9"/>
  <c r="CF78" i="9"/>
  <c r="CF79" i="9"/>
  <c r="CF80" i="9"/>
  <c r="CF81" i="9"/>
  <c r="CF82" i="9"/>
  <c r="CF83" i="9"/>
  <c r="CF84" i="9"/>
  <c r="CF85" i="9"/>
  <c r="CF86" i="9"/>
  <c r="CF87" i="9"/>
  <c r="CF88" i="9"/>
  <c r="CF89" i="9"/>
  <c r="CF90" i="9"/>
  <c r="CF91" i="9"/>
  <c r="CF92" i="9"/>
  <c r="CF93" i="9"/>
  <c r="CF94" i="9"/>
  <c r="CF95" i="9"/>
  <c r="CF96" i="9"/>
  <c r="BO60" i="8"/>
  <c r="BP60" i="8" s="1"/>
  <c r="BP148" i="8"/>
  <c r="BO57" i="8"/>
  <c r="BP57" i="8" s="1"/>
  <c r="BO110" i="8"/>
  <c r="BP110" i="8" s="1"/>
  <c r="BO67" i="8"/>
  <c r="BP67" i="8" s="1"/>
  <c r="BO26" i="8"/>
  <c r="BP26" i="8" s="1"/>
  <c r="BO130" i="8"/>
  <c r="BP130" i="8" s="1"/>
  <c r="BO3" i="8"/>
  <c r="BP3" i="8" s="1"/>
  <c r="BO162" i="8"/>
  <c r="BP162" i="8" s="1"/>
  <c r="BO82" i="8"/>
  <c r="BP82" i="8" s="1"/>
  <c r="BO136" i="8"/>
  <c r="BP136" i="8" s="1"/>
  <c r="BO84" i="8"/>
  <c r="BP84" i="8" s="1"/>
  <c r="BO170" i="8"/>
  <c r="BP170" i="8" s="1"/>
  <c r="BO68" i="8"/>
  <c r="BP68" i="8" s="1"/>
  <c r="BO28" i="8"/>
  <c r="BP28" i="8" s="1"/>
  <c r="BO34" i="8"/>
  <c r="BP34" i="8" s="1"/>
  <c r="BO10" i="8"/>
  <c r="BP10" i="8" s="1"/>
  <c r="BO40" i="8"/>
  <c r="BP40" i="8" s="1"/>
  <c r="BO118" i="8"/>
  <c r="BP118" i="8" s="1"/>
  <c r="BO98" i="8"/>
  <c r="BP98" i="8" s="1"/>
  <c r="BO137" i="8"/>
  <c r="BP137" i="8" s="1"/>
  <c r="BO63" i="8"/>
  <c r="BP63" i="8" s="1"/>
  <c r="BO138" i="8"/>
  <c r="BP138" i="8" s="1"/>
  <c r="BO11" i="8"/>
  <c r="BP11" i="8" s="1"/>
  <c r="BO121" i="8"/>
  <c r="BP121" i="8" s="1"/>
  <c r="BO149" i="8"/>
  <c r="BP149" i="8" s="1"/>
  <c r="BO55" i="8"/>
  <c r="BP55" i="8" s="1"/>
  <c r="BO154" i="8"/>
  <c r="BP154" i="8" s="1"/>
  <c r="BO117" i="8"/>
  <c r="BP117" i="8" s="1"/>
  <c r="BO25" i="8"/>
  <c r="BP25" i="8" s="1"/>
  <c r="BO100" i="8"/>
  <c r="BP100" i="8" s="1"/>
  <c r="BO52" i="8"/>
  <c r="BP52" i="8" s="1"/>
  <c r="BO77" i="8"/>
  <c r="BP77" i="8" s="1"/>
  <c r="BO76" i="8"/>
  <c r="BP76" i="8" s="1"/>
  <c r="BO32" i="8"/>
  <c r="BP32" i="8" s="1"/>
  <c r="BO134" i="8"/>
  <c r="BP134" i="8" s="1"/>
  <c r="BO96" i="8"/>
  <c r="BP96" i="8" s="1"/>
  <c r="BO128" i="8"/>
  <c r="BP128" i="8" s="1"/>
  <c r="BO164" i="8"/>
  <c r="BP164" i="8" s="1"/>
  <c r="BO106" i="8"/>
  <c r="BP106" i="8" s="1"/>
  <c r="BO15" i="8"/>
  <c r="BP15" i="8" s="1"/>
  <c r="BO92" i="8"/>
  <c r="BP92" i="8" s="1"/>
  <c r="BO95" i="8"/>
  <c r="BP95" i="8" s="1"/>
  <c r="BO47" i="8"/>
  <c r="BP47" i="8" s="1"/>
  <c r="BO157" i="8"/>
  <c r="BP157" i="8" s="1"/>
  <c r="BO91" i="8"/>
  <c r="BP91" i="8" s="1"/>
  <c r="BO12" i="8"/>
  <c r="BP12" i="8" s="1"/>
  <c r="BO18" i="8"/>
  <c r="BP18" i="8" s="1"/>
  <c r="BO39" i="8"/>
  <c r="BP39" i="8" s="1"/>
  <c r="BO150" i="8"/>
  <c r="BP150" i="8" s="1"/>
  <c r="BO123" i="8"/>
  <c r="BP123" i="8" s="1"/>
  <c r="BO38" i="8"/>
  <c r="BP38" i="8" s="1"/>
  <c r="BO21" i="8"/>
  <c r="BP21" i="8" s="1"/>
  <c r="BO145" i="8"/>
  <c r="BP145" i="8" s="1"/>
  <c r="BO109" i="8"/>
  <c r="BP109" i="8" s="1"/>
  <c r="BO69" i="8"/>
  <c r="BP69" i="8" s="1"/>
  <c r="BO23" i="8"/>
  <c r="BP23" i="8" s="1"/>
  <c r="BO44" i="8"/>
  <c r="BP44" i="8" s="1"/>
  <c r="BO158" i="8"/>
  <c r="BP158" i="8" s="1"/>
  <c r="BO101" i="8"/>
  <c r="BP101" i="8" s="1"/>
  <c r="BO160" i="8"/>
  <c r="BP160" i="8" s="1"/>
  <c r="BO161" i="8"/>
  <c r="BP161" i="8" s="1"/>
  <c r="BO99" i="8"/>
  <c r="BP99" i="8" s="1"/>
  <c r="BO29" i="8"/>
  <c r="BP29" i="8" s="1"/>
  <c r="BO22" i="8"/>
  <c r="BP22" i="8" s="1"/>
  <c r="BO49" i="8"/>
  <c r="BP49" i="8" s="1"/>
  <c r="BO64" i="8"/>
  <c r="BP64" i="8" s="1"/>
  <c r="BO70" i="8"/>
  <c r="BP70" i="8" s="1"/>
  <c r="BO30" i="8"/>
  <c r="BP30" i="8" s="1"/>
  <c r="BO168" i="8"/>
  <c r="BP168" i="8" s="1"/>
  <c r="BO159" i="8"/>
  <c r="BP159" i="8" s="1"/>
  <c r="BO94" i="8"/>
  <c r="BP94" i="8" s="1"/>
  <c r="BO153" i="8"/>
  <c r="BP153" i="8" s="1"/>
  <c r="BO107" i="8"/>
  <c r="BP107" i="8" s="1"/>
  <c r="BO112" i="8"/>
  <c r="BP112" i="8" s="1"/>
  <c r="BO75" i="8"/>
  <c r="BP75" i="8" s="1"/>
  <c r="BO4" i="8"/>
  <c r="BP4" i="8" s="1"/>
  <c r="BO124" i="8"/>
  <c r="BP124" i="8" s="1"/>
  <c r="BO139" i="8"/>
  <c r="BP139" i="8" s="1"/>
  <c r="BO9" i="8"/>
  <c r="BP9" i="8" s="1"/>
  <c r="BO116" i="8"/>
  <c r="BP116" i="8" s="1"/>
  <c r="BO108" i="8"/>
  <c r="BP108" i="8" s="1"/>
  <c r="BO155" i="8"/>
  <c r="BP155" i="8" s="1"/>
  <c r="BO20" i="8"/>
  <c r="BP20" i="8" s="1"/>
  <c r="BO167" i="8"/>
  <c r="BP167" i="8" s="1"/>
  <c r="BO113" i="8"/>
  <c r="BP113" i="8" s="1"/>
  <c r="BO173" i="8"/>
  <c r="BP173" i="8" s="1"/>
  <c r="BO140" i="8"/>
  <c r="BP140" i="8" s="1"/>
  <c r="BO43" i="8"/>
  <c r="BP43" i="8" s="1"/>
  <c r="BO45" i="8"/>
  <c r="BP45" i="8" s="1"/>
  <c r="BO78" i="8"/>
  <c r="BP78" i="8" s="1"/>
  <c r="BO24" i="8"/>
  <c r="BP24" i="8" s="1"/>
  <c r="BO33" i="8"/>
  <c r="BP33" i="8" s="1"/>
  <c r="BO5" i="8"/>
  <c r="BP5" i="8" s="1"/>
  <c r="BO90" i="8"/>
  <c r="BP90" i="8" s="1"/>
  <c r="BO50" i="8"/>
  <c r="BP50" i="8" s="1"/>
  <c r="BO85" i="8"/>
  <c r="BP85" i="8" s="1"/>
  <c r="BO48" i="8"/>
  <c r="BP48" i="8" s="1"/>
  <c r="BO74" i="8"/>
  <c r="BP74" i="8" s="1"/>
  <c r="BO143" i="8"/>
  <c r="BP143" i="8" s="1"/>
  <c r="BO102" i="8"/>
  <c r="BP102" i="8" s="1"/>
  <c r="BO35" i="8"/>
  <c r="BP35" i="8" s="1"/>
  <c r="BO129" i="8"/>
  <c r="BP129" i="8" s="1"/>
  <c r="BO144" i="8"/>
  <c r="BP144" i="8" s="1"/>
  <c r="BO54" i="8"/>
  <c r="BP54" i="8" s="1"/>
  <c r="BO36" i="8"/>
  <c r="BP36" i="8" s="1"/>
  <c r="BO61" i="8"/>
  <c r="BP61" i="8" s="1"/>
  <c r="BO105" i="8"/>
  <c r="BP105" i="8" s="1"/>
  <c r="BO62" i="8"/>
  <c r="BP62" i="8" s="1"/>
  <c r="BO41" i="8"/>
  <c r="BP41" i="8" s="1"/>
  <c r="BO42" i="8"/>
  <c r="BP42" i="8" s="1"/>
  <c r="BO71" i="8"/>
  <c r="BP71" i="8" s="1"/>
  <c r="BO72" i="8"/>
  <c r="BP72" i="8" s="1"/>
  <c r="BO111" i="8"/>
  <c r="BP111" i="8" s="1"/>
  <c r="BO142" i="8"/>
  <c r="BP142" i="8" s="1"/>
  <c r="BO27" i="8"/>
  <c r="BP27" i="8" s="1"/>
  <c r="BO131" i="8"/>
  <c r="BP131" i="8" s="1"/>
  <c r="BO73" i="8"/>
  <c r="BP73" i="8" s="1"/>
  <c r="BO65" i="8"/>
  <c r="BP65" i="8" s="1"/>
  <c r="BO19" i="8"/>
  <c r="BP19" i="8" s="1"/>
  <c r="BO171" i="8"/>
  <c r="BP171" i="8" s="1"/>
  <c r="BO37" i="8"/>
  <c r="BP37" i="8" s="1"/>
  <c r="BO141" i="8"/>
  <c r="BP141" i="8" s="1"/>
  <c r="BO152" i="8"/>
  <c r="BP152" i="8" s="1"/>
  <c r="BO135" i="8"/>
  <c r="BP135" i="8" s="1"/>
  <c r="BO86" i="8"/>
  <c r="BP86" i="8" s="1"/>
  <c r="BO163" i="8"/>
  <c r="BP163" i="8" s="1"/>
  <c r="BO8" i="8"/>
  <c r="BP8" i="8" s="1"/>
  <c r="BO120" i="8"/>
  <c r="BP120" i="8" s="1"/>
  <c r="BO151" i="8"/>
  <c r="BP151" i="8" s="1"/>
  <c r="BO7" i="8"/>
  <c r="BP7" i="8" s="1"/>
  <c r="BO79" i="8"/>
  <c r="BP79" i="8" s="1"/>
  <c r="BO80" i="8"/>
  <c r="BP80" i="8" s="1"/>
  <c r="BO147" i="8"/>
  <c r="BP147" i="8" s="1"/>
  <c r="BO58" i="8"/>
  <c r="BP58" i="8" s="1"/>
  <c r="BO88" i="8"/>
  <c r="BP88" i="8" s="1"/>
  <c r="BO127" i="8"/>
  <c r="BP127" i="8" s="1"/>
  <c r="BO114" i="8"/>
  <c r="BP114" i="8" s="1"/>
  <c r="BO146" i="8"/>
  <c r="BP146" i="8" s="1"/>
  <c r="BO87" i="8"/>
  <c r="BP87" i="8" s="1"/>
  <c r="BO126" i="8"/>
  <c r="BP126" i="8" s="1"/>
  <c r="BO132" i="8"/>
  <c r="BP132" i="8" s="1"/>
  <c r="BO89" i="8"/>
  <c r="BP89" i="8" s="1"/>
  <c r="BO97" i="8"/>
  <c r="BP97" i="8" s="1"/>
  <c r="AV96" i="9" l="1"/>
  <c r="BB96" i="9"/>
  <c r="BH96" i="9"/>
  <c r="BN96" i="9"/>
  <c r="AK97" i="8"/>
  <c r="AL97" i="8" s="1"/>
  <c r="AP97" i="8"/>
  <c r="AQ97" i="8" s="1"/>
  <c r="AU97" i="8"/>
  <c r="AV97" i="8" s="1"/>
  <c r="AZ97" i="8"/>
  <c r="BA97" i="8" s="1"/>
  <c r="BE97" i="8"/>
  <c r="BF97" i="8" s="1"/>
  <c r="BJ97" i="8"/>
  <c r="BK97" i="8" s="1"/>
  <c r="AV95" i="9"/>
  <c r="BB95" i="9"/>
  <c r="BH95" i="9"/>
  <c r="BN95" i="9"/>
  <c r="AV94" i="9"/>
  <c r="BB94" i="9"/>
  <c r="BH94" i="9"/>
  <c r="BN85" i="9" l="1"/>
  <c r="BN76" i="9"/>
  <c r="BN31" i="9" l="1"/>
  <c r="BN30" i="9"/>
  <c r="BN27" i="9"/>
  <c r="BN18" i="9"/>
  <c r="BN3" i="9"/>
  <c r="BN4" i="9"/>
  <c r="BN5" i="9"/>
  <c r="BN6" i="9"/>
  <c r="BN7" i="9"/>
  <c r="BN8" i="9"/>
  <c r="BN9" i="9"/>
  <c r="BN10" i="9"/>
  <c r="BN11" i="9"/>
  <c r="BN12" i="9"/>
  <c r="BN13" i="9"/>
  <c r="BN14" i="9"/>
  <c r="BN15" i="9"/>
  <c r="BN16" i="9"/>
  <c r="BN17" i="9"/>
  <c r="BN19" i="9"/>
  <c r="BN20" i="9"/>
  <c r="BN21" i="9"/>
  <c r="BN22" i="9"/>
  <c r="BN23" i="9"/>
  <c r="BN24" i="9"/>
  <c r="BN25" i="9"/>
  <c r="BN26" i="9"/>
  <c r="BN28" i="9"/>
  <c r="BN29" i="9"/>
  <c r="BN32" i="9"/>
  <c r="BN33" i="9"/>
  <c r="BN34" i="9"/>
  <c r="BN35" i="9"/>
  <c r="BN36" i="9"/>
  <c r="BN37" i="9"/>
  <c r="BN38" i="9"/>
  <c r="BN39" i="9"/>
  <c r="BN40" i="9"/>
  <c r="BN41" i="9"/>
  <c r="BN42" i="9"/>
  <c r="BN43" i="9"/>
  <c r="BN44" i="9"/>
  <c r="BN48" i="9"/>
  <c r="BN49" i="9"/>
  <c r="BN50" i="9"/>
  <c r="BN51" i="9"/>
  <c r="BN52" i="9"/>
  <c r="BN53" i="9"/>
  <c r="BN54" i="9"/>
  <c r="BN55" i="9"/>
  <c r="BN56" i="9"/>
  <c r="BN57" i="9"/>
  <c r="BN58" i="9"/>
  <c r="BN59" i="9"/>
  <c r="BN60" i="9"/>
  <c r="BN61" i="9"/>
  <c r="BN62" i="9"/>
  <c r="BN63" i="9"/>
  <c r="BN64" i="9"/>
  <c r="BN65" i="9"/>
  <c r="BN66" i="9"/>
  <c r="BN67" i="9"/>
  <c r="BN68" i="9"/>
  <c r="BN69" i="9"/>
  <c r="BN70" i="9"/>
  <c r="BN71" i="9"/>
  <c r="BN72" i="9"/>
  <c r="BN73" i="9"/>
  <c r="BN74" i="9"/>
  <c r="BN75" i="9"/>
  <c r="BN77" i="9"/>
  <c r="BN78" i="9"/>
  <c r="BN79" i="9"/>
  <c r="BN80" i="9"/>
  <c r="BN81" i="9"/>
  <c r="BN82" i="9"/>
  <c r="BN83" i="9"/>
  <c r="BN84" i="9"/>
  <c r="BN86" i="9"/>
  <c r="BN87" i="9"/>
  <c r="BN88" i="9"/>
  <c r="BN89" i="9"/>
  <c r="BN90" i="9"/>
  <c r="BN91" i="9"/>
  <c r="BN92" i="9"/>
  <c r="BN93" i="9"/>
  <c r="BJ88" i="8" l="1"/>
  <c r="BK88" i="8" s="1"/>
  <c r="BK107" i="8"/>
  <c r="BF107" i="8"/>
  <c r="BA107" i="8"/>
  <c r="BJ60" i="8"/>
  <c r="BK60" i="8" s="1"/>
  <c r="BJ57" i="8"/>
  <c r="BK57" i="8" s="1"/>
  <c r="BJ110" i="8"/>
  <c r="BK110" i="8" s="1"/>
  <c r="BJ67" i="8"/>
  <c r="BK67" i="8" s="1"/>
  <c r="BJ26" i="8"/>
  <c r="BK26" i="8" s="1"/>
  <c r="BJ130" i="8"/>
  <c r="BK130" i="8" s="1"/>
  <c r="BJ3" i="8"/>
  <c r="BK3" i="8" s="1"/>
  <c r="BJ162" i="8"/>
  <c r="BK162" i="8" s="1"/>
  <c r="BJ82" i="8"/>
  <c r="BK82" i="8" s="1"/>
  <c r="BJ136" i="8"/>
  <c r="BK136" i="8" s="1"/>
  <c r="BJ84" i="8"/>
  <c r="BK84" i="8" s="1"/>
  <c r="BJ170" i="8"/>
  <c r="BK170" i="8" s="1"/>
  <c r="BJ68" i="8"/>
  <c r="BK68" i="8" s="1"/>
  <c r="BJ28" i="8"/>
  <c r="BK28" i="8" s="1"/>
  <c r="BJ34" i="8"/>
  <c r="BK34" i="8" s="1"/>
  <c r="BJ10" i="8"/>
  <c r="BK10" i="8" s="1"/>
  <c r="BJ40" i="8"/>
  <c r="BK40" i="8" s="1"/>
  <c r="BJ118" i="8"/>
  <c r="BK118" i="8" s="1"/>
  <c r="BJ98" i="8"/>
  <c r="BK98" i="8" s="1"/>
  <c r="BJ137" i="8"/>
  <c r="BK137" i="8" s="1"/>
  <c r="BJ63" i="8"/>
  <c r="BK63" i="8" s="1"/>
  <c r="BJ138" i="8"/>
  <c r="BK138" i="8" s="1"/>
  <c r="BJ11" i="8"/>
  <c r="BK11" i="8" s="1"/>
  <c r="BJ121" i="8"/>
  <c r="BK121" i="8" s="1"/>
  <c r="BJ149" i="8"/>
  <c r="BK149" i="8" s="1"/>
  <c r="BJ55" i="8"/>
  <c r="BK55" i="8" s="1"/>
  <c r="BJ148" i="8"/>
  <c r="BK148" i="8" s="1"/>
  <c r="BJ154" i="8"/>
  <c r="BK154" i="8" s="1"/>
  <c r="BJ117" i="8"/>
  <c r="BK117" i="8" s="1"/>
  <c r="BJ25" i="8"/>
  <c r="BK25" i="8" s="1"/>
  <c r="BJ100" i="8"/>
  <c r="BK100" i="8" s="1"/>
  <c r="BJ52" i="8"/>
  <c r="BK52" i="8" s="1"/>
  <c r="BJ77" i="8"/>
  <c r="BK77" i="8" s="1"/>
  <c r="BJ76" i="8"/>
  <c r="BK76" i="8" s="1"/>
  <c r="BJ32" i="8"/>
  <c r="BK32" i="8" s="1"/>
  <c r="BJ134" i="8"/>
  <c r="BK134" i="8" s="1"/>
  <c r="BJ96" i="8"/>
  <c r="BK96" i="8" s="1"/>
  <c r="BJ128" i="8"/>
  <c r="BK128" i="8" s="1"/>
  <c r="BJ164" i="8"/>
  <c r="BK164" i="8" s="1"/>
  <c r="BJ106" i="8"/>
  <c r="BK106" i="8" s="1"/>
  <c r="BJ15" i="8"/>
  <c r="BK15" i="8" s="1"/>
  <c r="BJ92" i="8"/>
  <c r="BK92" i="8" s="1"/>
  <c r="BJ95" i="8"/>
  <c r="BK95" i="8" s="1"/>
  <c r="BJ47" i="8"/>
  <c r="BK47" i="8" s="1"/>
  <c r="BJ157" i="8"/>
  <c r="BK157" i="8" s="1"/>
  <c r="BJ91" i="8"/>
  <c r="BK91" i="8" s="1"/>
  <c r="BJ12" i="8"/>
  <c r="BK12" i="8" s="1"/>
  <c r="BJ18" i="8"/>
  <c r="BK18" i="8" s="1"/>
  <c r="BJ39" i="8"/>
  <c r="BK39" i="8" s="1"/>
  <c r="BJ150" i="8"/>
  <c r="BK150" i="8" s="1"/>
  <c r="BJ123" i="8"/>
  <c r="BK123" i="8" s="1"/>
  <c r="BJ38" i="8"/>
  <c r="BK38" i="8" s="1"/>
  <c r="BJ21" i="8"/>
  <c r="BK21" i="8" s="1"/>
  <c r="BJ145" i="8"/>
  <c r="BK145" i="8" s="1"/>
  <c r="BJ109" i="8"/>
  <c r="BK109" i="8" s="1"/>
  <c r="BJ69" i="8"/>
  <c r="BK69" i="8" s="1"/>
  <c r="BJ23" i="8"/>
  <c r="BK23" i="8" s="1"/>
  <c r="BJ44" i="8"/>
  <c r="BK44" i="8" s="1"/>
  <c r="BJ158" i="8"/>
  <c r="BK158" i="8" s="1"/>
  <c r="BJ101" i="8"/>
  <c r="BK101" i="8" s="1"/>
  <c r="BJ160" i="8"/>
  <c r="BK160" i="8" s="1"/>
  <c r="BJ161" i="8"/>
  <c r="BK161" i="8" s="1"/>
  <c r="BJ99" i="8"/>
  <c r="BK99" i="8" s="1"/>
  <c r="BJ29" i="8"/>
  <c r="BK29" i="8" s="1"/>
  <c r="BJ22" i="8"/>
  <c r="BK22" i="8" s="1"/>
  <c r="BJ49" i="8"/>
  <c r="BK49" i="8" s="1"/>
  <c r="BJ64" i="8"/>
  <c r="BK64" i="8" s="1"/>
  <c r="BJ70" i="8"/>
  <c r="BK70" i="8" s="1"/>
  <c r="BJ30" i="8"/>
  <c r="BK30" i="8" s="1"/>
  <c r="BJ168" i="8"/>
  <c r="BK168" i="8" s="1"/>
  <c r="BJ159" i="8"/>
  <c r="BK159" i="8" s="1"/>
  <c r="BJ94" i="8"/>
  <c r="BK94" i="8" s="1"/>
  <c r="BJ153" i="8"/>
  <c r="BK153" i="8" s="1"/>
  <c r="BJ112" i="8"/>
  <c r="BK112" i="8" s="1"/>
  <c r="BJ75" i="8"/>
  <c r="BK75" i="8" s="1"/>
  <c r="BJ4" i="8"/>
  <c r="BK4" i="8" s="1"/>
  <c r="BJ124" i="8"/>
  <c r="BK124" i="8" s="1"/>
  <c r="BJ139" i="8"/>
  <c r="BK139" i="8" s="1"/>
  <c r="BJ9" i="8"/>
  <c r="BK9" i="8" s="1"/>
  <c r="BJ116" i="8"/>
  <c r="BK116" i="8" s="1"/>
  <c r="BJ108" i="8"/>
  <c r="BK108" i="8" s="1"/>
  <c r="BJ155" i="8"/>
  <c r="BK155" i="8" s="1"/>
  <c r="BJ20" i="8"/>
  <c r="BK20" i="8" s="1"/>
  <c r="BJ167" i="8"/>
  <c r="BK167" i="8" s="1"/>
  <c r="BJ113" i="8"/>
  <c r="BK113" i="8" s="1"/>
  <c r="BJ173" i="8"/>
  <c r="BK173" i="8" s="1"/>
  <c r="BJ140" i="8"/>
  <c r="BK140" i="8" s="1"/>
  <c r="BJ43" i="8"/>
  <c r="BK43" i="8" s="1"/>
  <c r="BJ45" i="8"/>
  <c r="BK45" i="8" s="1"/>
  <c r="BJ78" i="8"/>
  <c r="BK78" i="8" s="1"/>
  <c r="BJ24" i="8"/>
  <c r="BK24" i="8" s="1"/>
  <c r="BJ33" i="8"/>
  <c r="BK33" i="8" s="1"/>
  <c r="BJ5" i="8"/>
  <c r="BK5" i="8" s="1"/>
  <c r="BJ90" i="8"/>
  <c r="BK90" i="8" s="1"/>
  <c r="BJ50" i="8"/>
  <c r="BK50" i="8" s="1"/>
  <c r="BJ85" i="8"/>
  <c r="BK85" i="8" s="1"/>
  <c r="BJ48" i="8"/>
  <c r="BK48" i="8" s="1"/>
  <c r="BJ74" i="8"/>
  <c r="BK74" i="8" s="1"/>
  <c r="BJ143" i="8"/>
  <c r="BK143" i="8" s="1"/>
  <c r="BJ102" i="8"/>
  <c r="BK102" i="8" s="1"/>
  <c r="BJ35" i="8"/>
  <c r="BK35" i="8" s="1"/>
  <c r="BJ129" i="8"/>
  <c r="BK129" i="8" s="1"/>
  <c r="BJ144" i="8"/>
  <c r="BK144" i="8" s="1"/>
  <c r="BJ54" i="8"/>
  <c r="BK54" i="8" s="1"/>
  <c r="BJ36" i="8"/>
  <c r="BK36" i="8" s="1"/>
  <c r="BJ61" i="8"/>
  <c r="BK61" i="8" s="1"/>
  <c r="BJ105" i="8"/>
  <c r="BK105" i="8" s="1"/>
  <c r="BJ62" i="8"/>
  <c r="BK62" i="8" s="1"/>
  <c r="BJ41" i="8"/>
  <c r="BK41" i="8" s="1"/>
  <c r="BJ42" i="8"/>
  <c r="BK42" i="8" s="1"/>
  <c r="BJ71" i="8"/>
  <c r="BK71" i="8" s="1"/>
  <c r="BJ72" i="8"/>
  <c r="BK72" i="8" s="1"/>
  <c r="BJ111" i="8"/>
  <c r="BK111" i="8" s="1"/>
  <c r="BJ142" i="8"/>
  <c r="BK142" i="8" s="1"/>
  <c r="BJ27" i="8"/>
  <c r="BK27" i="8" s="1"/>
  <c r="BJ131" i="8"/>
  <c r="BK131" i="8" s="1"/>
  <c r="BJ73" i="8"/>
  <c r="BK73" i="8" s="1"/>
  <c r="BJ65" i="8"/>
  <c r="BK65" i="8" s="1"/>
  <c r="BJ19" i="8"/>
  <c r="BK19" i="8" s="1"/>
  <c r="BJ171" i="8"/>
  <c r="BK171" i="8" s="1"/>
  <c r="BJ37" i="8"/>
  <c r="BK37" i="8" s="1"/>
  <c r="BJ141" i="8"/>
  <c r="BK141" i="8" s="1"/>
  <c r="BJ152" i="8"/>
  <c r="BK152" i="8" s="1"/>
  <c r="BJ135" i="8"/>
  <c r="BK135" i="8" s="1"/>
  <c r="BJ86" i="8"/>
  <c r="BK86" i="8" s="1"/>
  <c r="BJ163" i="8"/>
  <c r="BK163" i="8" s="1"/>
  <c r="BJ8" i="8"/>
  <c r="BK8" i="8" s="1"/>
  <c r="BJ120" i="8"/>
  <c r="BK120" i="8" s="1"/>
  <c r="BJ151" i="8"/>
  <c r="BK151" i="8" s="1"/>
  <c r="BJ7" i="8"/>
  <c r="BK7" i="8" s="1"/>
  <c r="BJ79" i="8"/>
  <c r="BK79" i="8" s="1"/>
  <c r="BJ80" i="8"/>
  <c r="BK80" i="8" s="1"/>
  <c r="BJ147" i="8"/>
  <c r="BK147" i="8" s="1"/>
  <c r="BJ58" i="8"/>
  <c r="BK58" i="8" s="1"/>
  <c r="BJ127" i="8"/>
  <c r="BK127" i="8" s="1"/>
  <c r="BJ114" i="8"/>
  <c r="BK114" i="8" s="1"/>
  <c r="BJ146" i="8"/>
  <c r="BK146" i="8" s="1"/>
  <c r="BJ87" i="8"/>
  <c r="BK87" i="8" s="1"/>
  <c r="BJ126" i="8"/>
  <c r="BK126" i="8" s="1"/>
  <c r="BJ132" i="8"/>
  <c r="BK132" i="8" s="1"/>
  <c r="BJ89" i="8"/>
  <c r="BK89" i="8" s="1"/>
  <c r="BE60" i="8"/>
  <c r="BF60" i="8" s="1"/>
  <c r="BE57" i="8"/>
  <c r="BF57" i="8" s="1"/>
  <c r="BE110" i="8"/>
  <c r="BF110" i="8" s="1"/>
  <c r="BE67" i="8"/>
  <c r="BF67" i="8" s="1"/>
  <c r="BE26" i="8"/>
  <c r="BF26" i="8" s="1"/>
  <c r="BE130" i="8"/>
  <c r="BF130" i="8" s="1"/>
  <c r="BE3" i="8"/>
  <c r="BF3" i="8" s="1"/>
  <c r="BE162" i="8"/>
  <c r="BF162" i="8" s="1"/>
  <c r="BE82" i="8"/>
  <c r="BF82" i="8" s="1"/>
  <c r="BE136" i="8"/>
  <c r="BF136" i="8" s="1"/>
  <c r="BE84" i="8"/>
  <c r="BF84" i="8" s="1"/>
  <c r="BE170" i="8"/>
  <c r="BF170" i="8" s="1"/>
  <c r="BE68" i="8"/>
  <c r="BF68" i="8" s="1"/>
  <c r="BE28" i="8"/>
  <c r="BF28" i="8" s="1"/>
  <c r="BE34" i="8"/>
  <c r="BF34" i="8" s="1"/>
  <c r="BE10" i="8"/>
  <c r="BF10" i="8" s="1"/>
  <c r="BE40" i="8"/>
  <c r="BF40" i="8" s="1"/>
  <c r="BE118" i="8"/>
  <c r="BF118" i="8" s="1"/>
  <c r="BE98" i="8"/>
  <c r="BF98" i="8" s="1"/>
  <c r="BE137" i="8"/>
  <c r="BF137" i="8" s="1"/>
  <c r="BE63" i="8"/>
  <c r="BF63" i="8" s="1"/>
  <c r="BE138" i="8"/>
  <c r="BF138" i="8" s="1"/>
  <c r="BE11" i="8"/>
  <c r="BF11" i="8" s="1"/>
  <c r="BE121" i="8"/>
  <c r="BF121" i="8" s="1"/>
  <c r="BE149" i="8"/>
  <c r="BF149" i="8" s="1"/>
  <c r="BE55" i="8"/>
  <c r="BF55" i="8" s="1"/>
  <c r="BE148" i="8"/>
  <c r="BF148" i="8" s="1"/>
  <c r="BE154" i="8"/>
  <c r="BF154" i="8" s="1"/>
  <c r="BE117" i="8"/>
  <c r="BF117" i="8" s="1"/>
  <c r="BE25" i="8"/>
  <c r="BF25" i="8" s="1"/>
  <c r="BE100" i="8"/>
  <c r="BF100" i="8" s="1"/>
  <c r="BE52" i="8"/>
  <c r="BF52" i="8" s="1"/>
  <c r="BE77" i="8"/>
  <c r="BF77" i="8" s="1"/>
  <c r="BE76" i="8"/>
  <c r="BF76" i="8" s="1"/>
  <c r="BE32" i="8"/>
  <c r="BF32" i="8" s="1"/>
  <c r="BE134" i="8"/>
  <c r="BF134" i="8" s="1"/>
  <c r="BE96" i="8"/>
  <c r="BF96" i="8" s="1"/>
  <c r="BE128" i="8"/>
  <c r="BF128" i="8" s="1"/>
  <c r="BE164" i="8"/>
  <c r="BF164" i="8" s="1"/>
  <c r="BE106" i="8"/>
  <c r="BF106" i="8" s="1"/>
  <c r="BE15" i="8"/>
  <c r="BF15" i="8" s="1"/>
  <c r="BE92" i="8"/>
  <c r="BF92" i="8" s="1"/>
  <c r="BE95" i="8"/>
  <c r="BF95" i="8" s="1"/>
  <c r="BE47" i="8"/>
  <c r="BF47" i="8" s="1"/>
  <c r="BE157" i="8"/>
  <c r="BF157" i="8" s="1"/>
  <c r="BE91" i="8"/>
  <c r="BF91" i="8" s="1"/>
  <c r="BE12" i="8"/>
  <c r="BF12" i="8" s="1"/>
  <c r="BE18" i="8"/>
  <c r="BF18" i="8" s="1"/>
  <c r="BE39" i="8"/>
  <c r="BF39" i="8" s="1"/>
  <c r="BE150" i="8"/>
  <c r="BF150" i="8" s="1"/>
  <c r="BE123" i="8"/>
  <c r="BF123" i="8" s="1"/>
  <c r="BE38" i="8"/>
  <c r="BF38" i="8" s="1"/>
  <c r="BE21" i="8"/>
  <c r="BF21" i="8" s="1"/>
  <c r="BE145" i="8"/>
  <c r="BF145" i="8" s="1"/>
  <c r="BE109" i="8"/>
  <c r="BF109" i="8" s="1"/>
  <c r="BE69" i="8"/>
  <c r="BF69" i="8" s="1"/>
  <c r="BE23" i="8"/>
  <c r="BF23" i="8" s="1"/>
  <c r="BE44" i="8"/>
  <c r="BF44" i="8" s="1"/>
  <c r="BE158" i="8"/>
  <c r="BF158" i="8" s="1"/>
  <c r="BE101" i="8"/>
  <c r="BF101" i="8" s="1"/>
  <c r="BE160" i="8"/>
  <c r="BF160" i="8" s="1"/>
  <c r="BE161" i="8"/>
  <c r="BF161" i="8" s="1"/>
  <c r="BE99" i="8"/>
  <c r="BF99" i="8" s="1"/>
  <c r="BE29" i="8"/>
  <c r="BF29" i="8" s="1"/>
  <c r="BE22" i="8"/>
  <c r="BF22" i="8" s="1"/>
  <c r="BE49" i="8"/>
  <c r="BF49" i="8" s="1"/>
  <c r="BE64" i="8"/>
  <c r="BF64" i="8" s="1"/>
  <c r="BE70" i="8"/>
  <c r="BF70" i="8" s="1"/>
  <c r="BE30" i="8"/>
  <c r="BF30" i="8" s="1"/>
  <c r="BE168" i="8"/>
  <c r="BF168" i="8" s="1"/>
  <c r="BE159" i="8"/>
  <c r="BF159" i="8" s="1"/>
  <c r="BE94" i="8"/>
  <c r="BF94" i="8" s="1"/>
  <c r="BE153" i="8"/>
  <c r="BF153" i="8" s="1"/>
  <c r="BE112" i="8"/>
  <c r="BF112" i="8" s="1"/>
  <c r="BE75" i="8"/>
  <c r="BF75" i="8" s="1"/>
  <c r="BE4" i="8"/>
  <c r="BF4" i="8" s="1"/>
  <c r="BE124" i="8"/>
  <c r="BF124" i="8" s="1"/>
  <c r="BE139" i="8"/>
  <c r="BF139" i="8" s="1"/>
  <c r="BE9" i="8"/>
  <c r="BF9" i="8" s="1"/>
  <c r="BE116" i="8"/>
  <c r="BF116" i="8" s="1"/>
  <c r="BE108" i="8"/>
  <c r="BF108" i="8" s="1"/>
  <c r="BE155" i="8"/>
  <c r="BF155" i="8" s="1"/>
  <c r="BE20" i="8"/>
  <c r="BF20" i="8" s="1"/>
  <c r="BE167" i="8"/>
  <c r="BF167" i="8" s="1"/>
  <c r="BE113" i="8"/>
  <c r="BF113" i="8" s="1"/>
  <c r="BE173" i="8"/>
  <c r="BF173" i="8" s="1"/>
  <c r="BE140" i="8"/>
  <c r="BF140" i="8" s="1"/>
  <c r="BE43" i="8"/>
  <c r="BF43" i="8" s="1"/>
  <c r="BE45" i="8"/>
  <c r="BF45" i="8" s="1"/>
  <c r="BE78" i="8"/>
  <c r="BF78" i="8" s="1"/>
  <c r="BE24" i="8"/>
  <c r="BF24" i="8" s="1"/>
  <c r="BE33" i="8"/>
  <c r="BF33" i="8" s="1"/>
  <c r="BE5" i="8"/>
  <c r="BF5" i="8" s="1"/>
  <c r="BE90" i="8"/>
  <c r="BF90" i="8" s="1"/>
  <c r="BE50" i="8"/>
  <c r="BF50" i="8" s="1"/>
  <c r="BE85" i="8"/>
  <c r="BF85" i="8" s="1"/>
  <c r="BE48" i="8"/>
  <c r="BF48" i="8" s="1"/>
  <c r="BE74" i="8"/>
  <c r="BF74" i="8" s="1"/>
  <c r="BE143" i="8"/>
  <c r="BF143" i="8" s="1"/>
  <c r="BE102" i="8"/>
  <c r="BF102" i="8" s="1"/>
  <c r="BE35" i="8"/>
  <c r="BF35" i="8" s="1"/>
  <c r="BE129" i="8"/>
  <c r="BF129" i="8" s="1"/>
  <c r="BE144" i="8"/>
  <c r="BF144" i="8" s="1"/>
  <c r="BE54" i="8"/>
  <c r="BF54" i="8" s="1"/>
  <c r="BE36" i="8"/>
  <c r="BF36" i="8" s="1"/>
  <c r="BE61" i="8"/>
  <c r="BF61" i="8" s="1"/>
  <c r="BF105" i="8"/>
  <c r="BE62" i="8"/>
  <c r="BF62" i="8" s="1"/>
  <c r="BE41" i="8"/>
  <c r="BF41" i="8" s="1"/>
  <c r="BE42" i="8"/>
  <c r="BF42" i="8" s="1"/>
  <c r="BE71" i="8"/>
  <c r="BF71" i="8" s="1"/>
  <c r="BE72" i="8"/>
  <c r="BF72" i="8" s="1"/>
  <c r="BE111" i="8"/>
  <c r="BF111" i="8" s="1"/>
  <c r="BE142" i="8"/>
  <c r="BF142" i="8" s="1"/>
  <c r="BE27" i="8"/>
  <c r="BF27" i="8" s="1"/>
  <c r="BE131" i="8"/>
  <c r="BF131" i="8" s="1"/>
  <c r="BE73" i="8"/>
  <c r="BF73" i="8" s="1"/>
  <c r="BE65" i="8"/>
  <c r="BF65" i="8" s="1"/>
  <c r="BE19" i="8"/>
  <c r="BF19" i="8" s="1"/>
  <c r="BE171" i="8"/>
  <c r="BF171" i="8" s="1"/>
  <c r="BE37" i="8"/>
  <c r="BF37" i="8" s="1"/>
  <c r="BE141" i="8"/>
  <c r="BF141" i="8" s="1"/>
  <c r="BE152" i="8"/>
  <c r="BF152" i="8" s="1"/>
  <c r="BE135" i="8"/>
  <c r="BF135" i="8" s="1"/>
  <c r="BE86" i="8"/>
  <c r="BF86" i="8" s="1"/>
  <c r="BE163" i="8"/>
  <c r="BF163" i="8" s="1"/>
  <c r="BE8" i="8"/>
  <c r="BF8" i="8" s="1"/>
  <c r="BE120" i="8"/>
  <c r="BF120" i="8" s="1"/>
  <c r="BE151" i="8"/>
  <c r="BF151" i="8" s="1"/>
  <c r="BE7" i="8"/>
  <c r="BF7" i="8" s="1"/>
  <c r="BE79" i="8"/>
  <c r="BF79" i="8" s="1"/>
  <c r="BE80" i="8"/>
  <c r="BF80" i="8" s="1"/>
  <c r="BE147" i="8"/>
  <c r="BF147" i="8" s="1"/>
  <c r="BE58" i="8"/>
  <c r="BF58" i="8" s="1"/>
  <c r="BE88" i="8"/>
  <c r="BF88" i="8" s="1"/>
  <c r="BE127" i="8"/>
  <c r="BF127" i="8" s="1"/>
  <c r="BE114" i="8"/>
  <c r="BF114" i="8" s="1"/>
  <c r="BE146" i="8"/>
  <c r="BF146" i="8" s="1"/>
  <c r="BE87" i="8"/>
  <c r="BF87" i="8" s="1"/>
  <c r="BE126" i="8"/>
  <c r="BF126" i="8" s="1"/>
  <c r="BE132" i="8"/>
  <c r="BF132" i="8" s="1"/>
  <c r="BE89" i="8"/>
  <c r="BF89" i="8" s="1"/>
  <c r="AZ60" i="8"/>
  <c r="BA60" i="8" s="1"/>
  <c r="AZ57" i="8"/>
  <c r="BA57" i="8" s="1"/>
  <c r="AZ110" i="8"/>
  <c r="BA110" i="8" s="1"/>
  <c r="AZ67" i="8"/>
  <c r="BA67" i="8" s="1"/>
  <c r="AZ26" i="8"/>
  <c r="BA26" i="8" s="1"/>
  <c r="AZ130" i="8"/>
  <c r="BA130" i="8" s="1"/>
  <c r="AZ3" i="8"/>
  <c r="BA3" i="8" s="1"/>
  <c r="AZ162" i="8"/>
  <c r="BA162" i="8" s="1"/>
  <c r="AZ82" i="8"/>
  <c r="BA82" i="8" s="1"/>
  <c r="AZ136" i="8"/>
  <c r="BA136" i="8" s="1"/>
  <c r="AZ84" i="8"/>
  <c r="BA84" i="8" s="1"/>
  <c r="AZ170" i="8"/>
  <c r="BA170" i="8" s="1"/>
  <c r="AZ68" i="8"/>
  <c r="BA68" i="8" s="1"/>
  <c r="AZ28" i="8"/>
  <c r="BA28" i="8" s="1"/>
  <c r="AZ34" i="8"/>
  <c r="BA34" i="8" s="1"/>
  <c r="AZ10" i="8"/>
  <c r="BA10" i="8" s="1"/>
  <c r="AZ40" i="8"/>
  <c r="BA40" i="8" s="1"/>
  <c r="AZ118" i="8"/>
  <c r="BA118" i="8" s="1"/>
  <c r="AZ98" i="8"/>
  <c r="BA98" i="8" s="1"/>
  <c r="AZ137" i="8"/>
  <c r="BA137" i="8" s="1"/>
  <c r="AZ63" i="8"/>
  <c r="BA63" i="8" s="1"/>
  <c r="AZ138" i="8"/>
  <c r="BA138" i="8" s="1"/>
  <c r="AZ11" i="8"/>
  <c r="BA11" i="8" s="1"/>
  <c r="AZ121" i="8"/>
  <c r="BA121" i="8" s="1"/>
  <c r="AZ149" i="8"/>
  <c r="BA149" i="8" s="1"/>
  <c r="AZ55" i="8"/>
  <c r="BA55" i="8" s="1"/>
  <c r="AZ148" i="8"/>
  <c r="BA148" i="8" s="1"/>
  <c r="AZ154" i="8"/>
  <c r="BA154" i="8" s="1"/>
  <c r="AZ117" i="8"/>
  <c r="BA117" i="8" s="1"/>
  <c r="AZ25" i="8"/>
  <c r="BA25" i="8" s="1"/>
  <c r="AZ100" i="8"/>
  <c r="BA100" i="8" s="1"/>
  <c r="AZ52" i="8"/>
  <c r="BA52" i="8" s="1"/>
  <c r="AZ77" i="8"/>
  <c r="BA77" i="8" s="1"/>
  <c r="AZ76" i="8"/>
  <c r="BA76" i="8" s="1"/>
  <c r="AZ32" i="8"/>
  <c r="BA32" i="8" s="1"/>
  <c r="AZ134" i="8"/>
  <c r="BA134" i="8" s="1"/>
  <c r="AZ96" i="8"/>
  <c r="BA96" i="8" s="1"/>
  <c r="AZ128" i="8"/>
  <c r="BA128" i="8" s="1"/>
  <c r="AZ164" i="8"/>
  <c r="BA164" i="8" s="1"/>
  <c r="AZ106" i="8"/>
  <c r="BA106" i="8" s="1"/>
  <c r="AZ15" i="8"/>
  <c r="BA15" i="8" s="1"/>
  <c r="AZ92" i="8"/>
  <c r="BA92" i="8" s="1"/>
  <c r="AZ95" i="8"/>
  <c r="BA95" i="8" s="1"/>
  <c r="AZ47" i="8"/>
  <c r="BA47" i="8" s="1"/>
  <c r="AZ157" i="8"/>
  <c r="BA157" i="8" s="1"/>
  <c r="AZ91" i="8"/>
  <c r="BA91" i="8" s="1"/>
  <c r="AZ12" i="8"/>
  <c r="BA12" i="8" s="1"/>
  <c r="AZ18" i="8"/>
  <c r="BA18" i="8" s="1"/>
  <c r="AZ39" i="8"/>
  <c r="BA39" i="8" s="1"/>
  <c r="AZ150" i="8"/>
  <c r="BA150" i="8" s="1"/>
  <c r="AZ123" i="8"/>
  <c r="BA123" i="8" s="1"/>
  <c r="AZ38" i="8"/>
  <c r="BA38" i="8" s="1"/>
  <c r="AZ21" i="8"/>
  <c r="BA21" i="8" s="1"/>
  <c r="AZ145" i="8"/>
  <c r="BA145" i="8" s="1"/>
  <c r="AZ109" i="8"/>
  <c r="BA109" i="8" s="1"/>
  <c r="AZ69" i="8"/>
  <c r="BA69" i="8" s="1"/>
  <c r="AZ23" i="8"/>
  <c r="BA23" i="8" s="1"/>
  <c r="AZ44" i="8"/>
  <c r="BA44" i="8" s="1"/>
  <c r="AZ158" i="8"/>
  <c r="BA158" i="8" s="1"/>
  <c r="AZ101" i="8"/>
  <c r="BA101" i="8" s="1"/>
  <c r="AZ160" i="8"/>
  <c r="BA160" i="8" s="1"/>
  <c r="AZ161" i="8"/>
  <c r="BA161" i="8" s="1"/>
  <c r="AZ99" i="8"/>
  <c r="BA99" i="8" s="1"/>
  <c r="AZ29" i="8"/>
  <c r="BA29" i="8" s="1"/>
  <c r="AZ22" i="8"/>
  <c r="BA22" i="8" s="1"/>
  <c r="AZ49" i="8"/>
  <c r="BA49" i="8" s="1"/>
  <c r="AZ64" i="8"/>
  <c r="BA64" i="8" s="1"/>
  <c r="AZ70" i="8"/>
  <c r="BA70" i="8" s="1"/>
  <c r="AZ30" i="8"/>
  <c r="BA30" i="8" s="1"/>
  <c r="AZ168" i="8"/>
  <c r="BA168" i="8" s="1"/>
  <c r="AZ159" i="8"/>
  <c r="BA159" i="8" s="1"/>
  <c r="AZ94" i="8"/>
  <c r="BA94" i="8" s="1"/>
  <c r="AZ153" i="8"/>
  <c r="BA153" i="8" s="1"/>
  <c r="AZ112" i="8"/>
  <c r="BA112" i="8" s="1"/>
  <c r="AZ75" i="8"/>
  <c r="BA75" i="8" s="1"/>
  <c r="AZ4" i="8"/>
  <c r="BA4" i="8" s="1"/>
  <c r="AZ124" i="8"/>
  <c r="BA124" i="8" s="1"/>
  <c r="AZ139" i="8"/>
  <c r="BA139" i="8" s="1"/>
  <c r="AZ9" i="8"/>
  <c r="BA9" i="8" s="1"/>
  <c r="AZ116" i="8"/>
  <c r="BA116" i="8" s="1"/>
  <c r="AZ108" i="8"/>
  <c r="BA108" i="8" s="1"/>
  <c r="AZ155" i="8"/>
  <c r="BA155" i="8" s="1"/>
  <c r="AZ20" i="8"/>
  <c r="BA20" i="8" s="1"/>
  <c r="AZ167" i="8"/>
  <c r="BA167" i="8" s="1"/>
  <c r="AZ113" i="8"/>
  <c r="BA113" i="8" s="1"/>
  <c r="AZ173" i="8"/>
  <c r="BA173" i="8" s="1"/>
  <c r="AZ140" i="8"/>
  <c r="BA140" i="8" s="1"/>
  <c r="AZ43" i="8"/>
  <c r="BA43" i="8" s="1"/>
  <c r="AZ45" i="8"/>
  <c r="BA45" i="8" s="1"/>
  <c r="AZ78" i="8"/>
  <c r="BA78" i="8" s="1"/>
  <c r="AZ24" i="8"/>
  <c r="BA24" i="8" s="1"/>
  <c r="AZ33" i="8"/>
  <c r="BA33" i="8" s="1"/>
  <c r="AZ5" i="8"/>
  <c r="BA5" i="8" s="1"/>
  <c r="AZ90" i="8"/>
  <c r="BA90" i="8" s="1"/>
  <c r="AZ50" i="8"/>
  <c r="BA50" i="8" s="1"/>
  <c r="AZ85" i="8"/>
  <c r="BA85" i="8" s="1"/>
  <c r="AZ48" i="8"/>
  <c r="BA48" i="8" s="1"/>
  <c r="AZ74" i="8"/>
  <c r="BA74" i="8" s="1"/>
  <c r="AZ143" i="8"/>
  <c r="BA143" i="8" s="1"/>
  <c r="AZ102" i="8"/>
  <c r="BA102" i="8" s="1"/>
  <c r="AZ35" i="8"/>
  <c r="BA35" i="8" s="1"/>
  <c r="AZ129" i="8"/>
  <c r="BA129" i="8" s="1"/>
  <c r="AZ144" i="8"/>
  <c r="BA144" i="8" s="1"/>
  <c r="AZ54" i="8"/>
  <c r="BA54" i="8" s="1"/>
  <c r="AZ36" i="8"/>
  <c r="BA36" i="8" s="1"/>
  <c r="AZ61" i="8"/>
  <c r="BA61" i="8" s="1"/>
  <c r="BA105" i="8"/>
  <c r="AZ62" i="8"/>
  <c r="BA62" i="8" s="1"/>
  <c r="AZ41" i="8"/>
  <c r="BA41" i="8" s="1"/>
  <c r="AZ42" i="8"/>
  <c r="BA42" i="8" s="1"/>
  <c r="AZ71" i="8"/>
  <c r="BA71" i="8" s="1"/>
  <c r="AZ72" i="8"/>
  <c r="BA72" i="8" s="1"/>
  <c r="AZ111" i="8"/>
  <c r="BA111" i="8" s="1"/>
  <c r="AZ142" i="8"/>
  <c r="BA142" i="8" s="1"/>
  <c r="AZ27" i="8"/>
  <c r="BA27" i="8" s="1"/>
  <c r="AZ131" i="8"/>
  <c r="BA131" i="8" s="1"/>
  <c r="AZ73" i="8"/>
  <c r="BA73" i="8" s="1"/>
  <c r="AZ65" i="8"/>
  <c r="BA65" i="8" s="1"/>
  <c r="AZ19" i="8"/>
  <c r="BA19" i="8" s="1"/>
  <c r="AZ171" i="8"/>
  <c r="BA171" i="8" s="1"/>
  <c r="AZ37" i="8"/>
  <c r="BA37" i="8" s="1"/>
  <c r="AZ141" i="8"/>
  <c r="BA141" i="8" s="1"/>
  <c r="AZ152" i="8"/>
  <c r="BA152" i="8" s="1"/>
  <c r="AZ135" i="8"/>
  <c r="BA135" i="8" s="1"/>
  <c r="AZ86" i="8"/>
  <c r="BA86" i="8" s="1"/>
  <c r="AZ163" i="8"/>
  <c r="BA163" i="8" s="1"/>
  <c r="AZ8" i="8"/>
  <c r="BA8" i="8" s="1"/>
  <c r="AZ120" i="8"/>
  <c r="BA120" i="8" s="1"/>
  <c r="AZ151" i="8"/>
  <c r="BA151" i="8" s="1"/>
  <c r="AZ7" i="8"/>
  <c r="BA7" i="8" s="1"/>
  <c r="AZ79" i="8"/>
  <c r="BA79" i="8" s="1"/>
  <c r="AZ80" i="8"/>
  <c r="BA80" i="8" s="1"/>
  <c r="AZ147" i="8"/>
  <c r="BA147" i="8" s="1"/>
  <c r="AZ58" i="8"/>
  <c r="BA58" i="8" s="1"/>
  <c r="AZ88" i="8"/>
  <c r="BA88" i="8" s="1"/>
  <c r="AZ127" i="8"/>
  <c r="BA127" i="8" s="1"/>
  <c r="AZ114" i="8"/>
  <c r="BA114" i="8" s="1"/>
  <c r="AZ146" i="8"/>
  <c r="BA146" i="8" s="1"/>
  <c r="AZ87" i="8"/>
  <c r="BA87" i="8" s="1"/>
  <c r="AZ126" i="8"/>
  <c r="BA126" i="8" s="1"/>
  <c r="AZ132" i="8"/>
  <c r="BA132" i="8" s="1"/>
  <c r="AZ89" i="8"/>
  <c r="BA89" i="8" s="1"/>
  <c r="AU60" i="8" l="1"/>
  <c r="AV60" i="8" s="1"/>
  <c r="BH93" i="9" l="1"/>
  <c r="AV93" i="9"/>
  <c r="BB93" i="9"/>
  <c r="AV92" i="9"/>
  <c r="BB92" i="9"/>
  <c r="BH92" i="9"/>
  <c r="AK152" i="8" l="1"/>
  <c r="AL152" i="8" s="1"/>
  <c r="AP152" i="8"/>
  <c r="AQ152" i="8" s="1"/>
  <c r="AU152" i="8"/>
  <c r="AV152" i="8" s="1"/>
  <c r="AK141" i="8"/>
  <c r="AL141" i="8" s="1"/>
  <c r="AP141" i="8"/>
  <c r="AQ141" i="8" s="1"/>
  <c r="AU141" i="8"/>
  <c r="AV141" i="8" s="1"/>
  <c r="AK45" i="8"/>
  <c r="AL45" i="8" s="1"/>
  <c r="AP45" i="8"/>
  <c r="AQ45" i="8" s="1"/>
  <c r="AU45" i="8"/>
  <c r="AV45" i="8" s="1"/>
  <c r="AK37" i="8"/>
  <c r="AL37" i="8" s="1"/>
  <c r="AP37" i="8"/>
  <c r="AQ37" i="8" s="1"/>
  <c r="AU37" i="8"/>
  <c r="AV37" i="8" s="1"/>
  <c r="AK171" i="8"/>
  <c r="AL171" i="8" s="1"/>
  <c r="AP171" i="8"/>
  <c r="AQ171" i="8" s="1"/>
  <c r="AU171" i="8"/>
  <c r="AV171" i="8" s="1"/>
  <c r="AV91" i="9"/>
  <c r="BB91" i="9"/>
  <c r="BH91" i="9"/>
  <c r="BB81" i="9" l="1"/>
  <c r="BB82" i="9"/>
  <c r="AU57" i="8" l="1"/>
  <c r="AU110" i="8"/>
  <c r="AU67" i="8"/>
  <c r="AU26" i="8"/>
  <c r="AU130" i="8"/>
  <c r="AU3" i="8"/>
  <c r="AU162" i="8"/>
  <c r="AU82" i="8"/>
  <c r="AU136" i="8"/>
  <c r="AU84" i="8"/>
  <c r="AU170" i="8"/>
  <c r="AU68" i="8"/>
  <c r="AU28" i="8"/>
  <c r="AU34" i="8"/>
  <c r="AU10" i="8"/>
  <c r="AU40" i="8"/>
  <c r="AU118" i="8"/>
  <c r="AU98" i="8"/>
  <c r="AU137" i="8"/>
  <c r="AU63" i="8"/>
  <c r="AU138" i="8"/>
  <c r="AU11" i="8"/>
  <c r="AU121" i="8"/>
  <c r="AU149" i="8"/>
  <c r="AU55" i="8"/>
  <c r="AU148" i="8"/>
  <c r="AU154" i="8"/>
  <c r="AU117" i="8"/>
  <c r="AU25" i="8"/>
  <c r="AU100" i="8"/>
  <c r="AU52" i="8"/>
  <c r="AU77" i="8"/>
  <c r="AU76" i="8"/>
  <c r="AU32" i="8"/>
  <c r="AU134" i="8"/>
  <c r="AU96" i="8"/>
  <c r="AU128" i="8"/>
  <c r="AU164" i="8"/>
  <c r="AU106" i="8"/>
  <c r="AU15" i="8"/>
  <c r="AV15" i="8" s="1"/>
  <c r="AU92" i="8"/>
  <c r="AU95" i="8"/>
  <c r="AU47" i="8"/>
  <c r="AU157" i="8"/>
  <c r="AU91" i="8"/>
  <c r="AU12" i="8"/>
  <c r="AU18" i="8"/>
  <c r="AU39" i="8"/>
  <c r="AU150" i="8"/>
  <c r="AU123" i="8"/>
  <c r="AU38" i="8"/>
  <c r="AU21" i="8"/>
  <c r="AU145" i="8"/>
  <c r="AU109" i="8"/>
  <c r="AU69" i="8"/>
  <c r="AU23" i="8"/>
  <c r="AU44" i="8"/>
  <c r="AU158" i="8"/>
  <c r="AU101" i="8"/>
  <c r="AU160" i="8"/>
  <c r="AU161" i="8"/>
  <c r="AU99" i="8"/>
  <c r="AU29" i="8"/>
  <c r="AU22" i="8"/>
  <c r="AU49" i="8"/>
  <c r="AU64" i="8"/>
  <c r="AU70" i="8"/>
  <c r="AU30" i="8"/>
  <c r="AU168" i="8"/>
  <c r="AU159" i="8"/>
  <c r="AU94" i="8"/>
  <c r="AU153" i="8"/>
  <c r="AU112" i="8"/>
  <c r="AU75" i="8"/>
  <c r="AU4" i="8"/>
  <c r="AU124" i="8"/>
  <c r="AU139" i="8"/>
  <c r="AU9" i="8"/>
  <c r="AU116" i="8"/>
  <c r="AU108" i="8"/>
  <c r="AU155" i="8"/>
  <c r="AU20" i="8"/>
  <c r="AU167" i="8"/>
  <c r="AU113" i="8"/>
  <c r="AU173" i="8"/>
  <c r="AU140" i="8"/>
  <c r="AU43" i="8"/>
  <c r="AU78" i="8"/>
  <c r="AU24" i="8"/>
  <c r="AU33" i="8"/>
  <c r="AU5" i="8"/>
  <c r="AU90" i="8"/>
  <c r="AU50" i="8"/>
  <c r="AU85" i="8"/>
  <c r="AU48" i="8"/>
  <c r="AU74" i="8"/>
  <c r="AU143" i="8"/>
  <c r="AU102" i="8"/>
  <c r="AU35" i="8"/>
  <c r="AU129" i="8"/>
  <c r="AU144" i="8"/>
  <c r="AU54" i="8"/>
  <c r="AU36" i="8"/>
  <c r="AU61" i="8"/>
  <c r="AU62" i="8"/>
  <c r="AU41" i="8"/>
  <c r="AU42" i="8"/>
  <c r="AU71" i="8"/>
  <c r="AU72" i="8"/>
  <c r="AU111" i="8"/>
  <c r="AU142" i="8"/>
  <c r="AU27" i="8"/>
  <c r="AU131" i="8"/>
  <c r="AU73" i="8"/>
  <c r="AU65" i="8"/>
  <c r="AU19" i="8"/>
  <c r="AU135" i="8"/>
  <c r="AU86" i="8"/>
  <c r="AU163" i="8"/>
  <c r="AU8" i="8"/>
  <c r="AU120" i="8"/>
  <c r="AU151" i="8"/>
  <c r="AU7" i="8"/>
  <c r="AU79" i="8"/>
  <c r="AU80" i="8"/>
  <c r="AU147" i="8"/>
  <c r="AU58" i="8"/>
  <c r="AU88" i="8"/>
  <c r="AU127" i="8"/>
  <c r="AU114" i="8"/>
  <c r="AU146" i="8"/>
  <c r="AU87" i="8"/>
  <c r="AU126" i="8"/>
  <c r="AU132" i="8"/>
  <c r="AU89" i="8"/>
  <c r="AP89" i="8"/>
  <c r="AQ89" i="8" s="1"/>
  <c r="AP132" i="8"/>
  <c r="AQ132" i="8" s="1"/>
  <c r="AP126" i="8"/>
  <c r="AQ126" i="8" s="1"/>
  <c r="AP87" i="8"/>
  <c r="AQ87" i="8" s="1"/>
  <c r="AP146" i="8"/>
  <c r="AQ146" i="8" s="1"/>
  <c r="AP114" i="8"/>
  <c r="AQ114" i="8" s="1"/>
  <c r="AP127" i="8"/>
  <c r="AQ127" i="8" s="1"/>
  <c r="AP88" i="8"/>
  <c r="AQ88" i="8" s="1"/>
  <c r="AP58" i="8"/>
  <c r="AQ58" i="8" s="1"/>
  <c r="AP147" i="8"/>
  <c r="AQ147" i="8" s="1"/>
  <c r="AP80" i="8"/>
  <c r="AQ80" i="8" s="1"/>
  <c r="AP79" i="8"/>
  <c r="AQ79" i="8" s="1"/>
  <c r="AP7" i="8"/>
  <c r="AQ7" i="8" s="1"/>
  <c r="AP151" i="8"/>
  <c r="AQ151" i="8" s="1"/>
  <c r="AP120" i="8"/>
  <c r="AQ120" i="8" s="1"/>
  <c r="AP8" i="8"/>
  <c r="AQ8" i="8" s="1"/>
  <c r="AP163" i="8"/>
  <c r="AQ163" i="8" s="1"/>
  <c r="AP86" i="8"/>
  <c r="AQ86" i="8" s="1"/>
  <c r="AP135" i="8"/>
  <c r="AQ135" i="8" s="1"/>
  <c r="AP19" i="8"/>
  <c r="AQ19" i="8" s="1"/>
  <c r="AP65" i="8"/>
  <c r="AQ65" i="8" s="1"/>
  <c r="AP73" i="8"/>
  <c r="AQ73" i="8" s="1"/>
  <c r="AP131" i="8"/>
  <c r="AQ131" i="8" s="1"/>
  <c r="AP27" i="8"/>
  <c r="AQ27" i="8" s="1"/>
  <c r="AP142" i="8"/>
  <c r="AQ142" i="8" s="1"/>
  <c r="AP111" i="8"/>
  <c r="AQ111" i="8" s="1"/>
  <c r="AP72" i="8"/>
  <c r="AQ72" i="8" s="1"/>
  <c r="AP71" i="8"/>
  <c r="AQ71" i="8" s="1"/>
  <c r="AP42" i="8"/>
  <c r="AQ42" i="8" s="1"/>
  <c r="AP41" i="8"/>
  <c r="AQ41" i="8" s="1"/>
  <c r="AP62" i="8"/>
  <c r="AQ62" i="8" s="1"/>
  <c r="AQ105" i="8"/>
  <c r="AP61" i="8"/>
  <c r="AQ61" i="8" s="1"/>
  <c r="AP36" i="8"/>
  <c r="AQ36" i="8" s="1"/>
  <c r="AP54" i="8"/>
  <c r="AQ54" i="8" s="1"/>
  <c r="AP144" i="8"/>
  <c r="AQ144" i="8" s="1"/>
  <c r="AP129" i="8"/>
  <c r="AQ129" i="8" s="1"/>
  <c r="AP35" i="8"/>
  <c r="AQ35" i="8" s="1"/>
  <c r="AP102" i="8"/>
  <c r="AQ102" i="8" s="1"/>
  <c r="AP143" i="8"/>
  <c r="AQ143" i="8" s="1"/>
  <c r="AP74" i="8"/>
  <c r="AQ74" i="8" s="1"/>
  <c r="AP48" i="8"/>
  <c r="AQ48" i="8" s="1"/>
  <c r="AP85" i="8"/>
  <c r="AQ85" i="8" s="1"/>
  <c r="AP50" i="8"/>
  <c r="AQ50" i="8" s="1"/>
  <c r="AP90" i="8"/>
  <c r="AQ90" i="8" s="1"/>
  <c r="AP5" i="8"/>
  <c r="AQ5" i="8" s="1"/>
  <c r="AP33" i="8"/>
  <c r="AQ33" i="8" s="1"/>
  <c r="AP24" i="8"/>
  <c r="AQ24" i="8" s="1"/>
  <c r="AP78" i="8"/>
  <c r="AQ78" i="8" s="1"/>
  <c r="AP43" i="8"/>
  <c r="AQ43" i="8" s="1"/>
  <c r="AP140" i="8"/>
  <c r="AQ140" i="8" s="1"/>
  <c r="AP173" i="8"/>
  <c r="AQ173" i="8" s="1"/>
  <c r="AP113" i="8"/>
  <c r="AQ113" i="8" s="1"/>
  <c r="AP167" i="8"/>
  <c r="AQ167" i="8" s="1"/>
  <c r="AP20" i="8"/>
  <c r="AQ20" i="8" s="1"/>
  <c r="AP155" i="8"/>
  <c r="AQ155" i="8" s="1"/>
  <c r="AP108" i="8"/>
  <c r="AQ108" i="8" s="1"/>
  <c r="AP116" i="8"/>
  <c r="AQ116" i="8" s="1"/>
  <c r="AP9" i="8"/>
  <c r="AQ9" i="8" s="1"/>
  <c r="AP139" i="8"/>
  <c r="AQ139" i="8" s="1"/>
  <c r="AP124" i="8"/>
  <c r="AQ124" i="8" s="1"/>
  <c r="AP4" i="8"/>
  <c r="AQ4" i="8" s="1"/>
  <c r="AP75" i="8"/>
  <c r="AQ75" i="8" s="1"/>
  <c r="AP112" i="8"/>
  <c r="AQ112" i="8" s="1"/>
  <c r="AQ107" i="8"/>
  <c r="AP153" i="8"/>
  <c r="AQ153" i="8" s="1"/>
  <c r="AP94" i="8"/>
  <c r="AQ94" i="8" s="1"/>
  <c r="AP159" i="8"/>
  <c r="AQ159" i="8" s="1"/>
  <c r="AP168" i="8"/>
  <c r="AQ168" i="8" s="1"/>
  <c r="AP30" i="8"/>
  <c r="AQ30" i="8" s="1"/>
  <c r="AP70" i="8"/>
  <c r="AQ70" i="8" s="1"/>
  <c r="AP64" i="8"/>
  <c r="AQ64" i="8" s="1"/>
  <c r="AP49" i="8"/>
  <c r="AQ49" i="8" s="1"/>
  <c r="AP22" i="8"/>
  <c r="AQ22" i="8" s="1"/>
  <c r="AP29" i="8"/>
  <c r="AQ29" i="8" s="1"/>
  <c r="AP99" i="8"/>
  <c r="AQ99" i="8" s="1"/>
  <c r="AP161" i="8"/>
  <c r="AQ161" i="8" s="1"/>
  <c r="AP160" i="8"/>
  <c r="AQ160" i="8" s="1"/>
  <c r="AP101" i="8"/>
  <c r="AQ101" i="8" s="1"/>
  <c r="AP158" i="8"/>
  <c r="AQ158" i="8" s="1"/>
  <c r="AP44" i="8"/>
  <c r="AQ44" i="8" s="1"/>
  <c r="AP23" i="8"/>
  <c r="AQ23" i="8" s="1"/>
  <c r="AP69" i="8"/>
  <c r="AQ69" i="8" s="1"/>
  <c r="AP109" i="8"/>
  <c r="AQ109" i="8" s="1"/>
  <c r="AP145" i="8"/>
  <c r="AQ145" i="8" s="1"/>
  <c r="AP21" i="8"/>
  <c r="AQ21" i="8" s="1"/>
  <c r="AP38" i="8"/>
  <c r="AQ38" i="8" s="1"/>
  <c r="AP123" i="8"/>
  <c r="AQ123" i="8" s="1"/>
  <c r="AP150" i="8"/>
  <c r="AQ150" i="8" s="1"/>
  <c r="AP39" i="8"/>
  <c r="AQ39" i="8" s="1"/>
  <c r="AP18" i="8"/>
  <c r="AQ18" i="8" s="1"/>
  <c r="AP12" i="8"/>
  <c r="AQ12" i="8" s="1"/>
  <c r="AP91" i="8"/>
  <c r="AQ91" i="8" s="1"/>
  <c r="AP157" i="8"/>
  <c r="AQ157" i="8" s="1"/>
  <c r="AP47" i="8"/>
  <c r="AQ47" i="8" s="1"/>
  <c r="AP95" i="8"/>
  <c r="AQ95" i="8" s="1"/>
  <c r="AP92" i="8"/>
  <c r="AQ92" i="8" s="1"/>
  <c r="AP15" i="8"/>
  <c r="AQ15" i="8" s="1"/>
  <c r="AP106" i="8"/>
  <c r="AQ106" i="8" s="1"/>
  <c r="AP164" i="8"/>
  <c r="AQ164" i="8" s="1"/>
  <c r="AP128" i="8"/>
  <c r="AQ128" i="8" s="1"/>
  <c r="AP96" i="8"/>
  <c r="AQ96" i="8" s="1"/>
  <c r="AP134" i="8"/>
  <c r="AQ134" i="8" s="1"/>
  <c r="AP32" i="8"/>
  <c r="AQ32" i="8" s="1"/>
  <c r="AP76" i="8"/>
  <c r="AQ76" i="8" s="1"/>
  <c r="AP77" i="8"/>
  <c r="AQ77" i="8" s="1"/>
  <c r="AP52" i="8"/>
  <c r="AQ52" i="8" s="1"/>
  <c r="AP100" i="8"/>
  <c r="AQ100" i="8" s="1"/>
  <c r="AP25" i="8"/>
  <c r="AQ25" i="8" s="1"/>
  <c r="AP117" i="8"/>
  <c r="AQ117" i="8" s="1"/>
  <c r="AP154" i="8"/>
  <c r="AQ154" i="8" s="1"/>
  <c r="AP148" i="8"/>
  <c r="AQ148" i="8" s="1"/>
  <c r="AP55" i="8"/>
  <c r="AQ55" i="8" s="1"/>
  <c r="AP149" i="8"/>
  <c r="AQ149" i="8" s="1"/>
  <c r="AP121" i="8"/>
  <c r="AQ121" i="8" s="1"/>
  <c r="AP11" i="8"/>
  <c r="AQ11" i="8" s="1"/>
  <c r="AP138" i="8"/>
  <c r="AQ138" i="8" s="1"/>
  <c r="AP63" i="8"/>
  <c r="AQ63" i="8" s="1"/>
  <c r="AP137" i="8"/>
  <c r="AQ137" i="8" s="1"/>
  <c r="AP98" i="8"/>
  <c r="AQ98" i="8" s="1"/>
  <c r="AP118" i="8"/>
  <c r="AQ118" i="8" s="1"/>
  <c r="AP40" i="8"/>
  <c r="AQ40" i="8" s="1"/>
  <c r="AP10" i="8"/>
  <c r="AQ10" i="8" s="1"/>
  <c r="AP34" i="8"/>
  <c r="AQ34" i="8" s="1"/>
  <c r="AP28" i="8"/>
  <c r="AQ28" i="8" s="1"/>
  <c r="AP68" i="8"/>
  <c r="AQ68" i="8" s="1"/>
  <c r="AP170" i="8"/>
  <c r="AQ170" i="8" s="1"/>
  <c r="AP84" i="8"/>
  <c r="AQ84" i="8" s="1"/>
  <c r="AP136" i="8"/>
  <c r="AQ136" i="8" s="1"/>
  <c r="AP82" i="8"/>
  <c r="AQ82" i="8" s="1"/>
  <c r="AP162" i="8"/>
  <c r="AQ162" i="8" s="1"/>
  <c r="AP3" i="8"/>
  <c r="AQ3" i="8" s="1"/>
  <c r="AP130" i="8"/>
  <c r="AQ130" i="8" s="1"/>
  <c r="AP26" i="8"/>
  <c r="AQ26" i="8" s="1"/>
  <c r="AP67" i="8"/>
  <c r="AQ67" i="8" s="1"/>
  <c r="AP110" i="8"/>
  <c r="AQ110" i="8" s="1"/>
  <c r="AP57" i="8"/>
  <c r="AQ57" i="8" s="1"/>
  <c r="AP60" i="8"/>
  <c r="AQ60" i="8" s="1"/>
  <c r="AK60" i="8"/>
  <c r="AL60" i="8" s="1"/>
  <c r="AK57" i="8"/>
  <c r="AL57" i="8" s="1"/>
  <c r="AK110" i="8"/>
  <c r="AL110" i="8" s="1"/>
  <c r="AK67" i="8"/>
  <c r="AL67" i="8" s="1"/>
  <c r="AK26" i="8"/>
  <c r="AL26" i="8" s="1"/>
  <c r="AK130" i="8"/>
  <c r="AL130" i="8" s="1"/>
  <c r="AK3" i="8"/>
  <c r="AL3" i="8" s="1"/>
  <c r="AK162" i="8"/>
  <c r="AL162" i="8" s="1"/>
  <c r="AK82" i="8"/>
  <c r="AL82" i="8" s="1"/>
  <c r="AK136" i="8"/>
  <c r="AL136" i="8" s="1"/>
  <c r="AK84" i="8"/>
  <c r="AL84" i="8" s="1"/>
  <c r="AK170" i="8"/>
  <c r="AL170" i="8" s="1"/>
  <c r="AK68" i="8"/>
  <c r="AL68" i="8" s="1"/>
  <c r="AK28" i="8"/>
  <c r="AL28" i="8" s="1"/>
  <c r="AK34" i="8"/>
  <c r="AL34" i="8" s="1"/>
  <c r="AK10" i="8"/>
  <c r="AL10" i="8" s="1"/>
  <c r="AK40" i="8"/>
  <c r="AL40" i="8" s="1"/>
  <c r="AK118" i="8"/>
  <c r="AL118" i="8" s="1"/>
  <c r="AK98" i="8"/>
  <c r="AL98" i="8" s="1"/>
  <c r="AK137" i="8"/>
  <c r="AL137" i="8" s="1"/>
  <c r="AK63" i="8"/>
  <c r="AK138" i="8"/>
  <c r="AL138" i="8" s="1"/>
  <c r="AK11" i="8"/>
  <c r="AL11" i="8" s="1"/>
  <c r="AK121" i="8"/>
  <c r="AL121" i="8" s="1"/>
  <c r="AK149" i="8"/>
  <c r="AL149" i="8" s="1"/>
  <c r="AK55" i="8"/>
  <c r="AL55" i="8" s="1"/>
  <c r="AK148" i="8"/>
  <c r="AL148" i="8" s="1"/>
  <c r="AK154" i="8"/>
  <c r="AL154" i="8" s="1"/>
  <c r="AK117" i="8"/>
  <c r="AL117" i="8" s="1"/>
  <c r="AK25" i="8"/>
  <c r="AL25" i="8" s="1"/>
  <c r="AK100" i="8"/>
  <c r="AL100" i="8" s="1"/>
  <c r="AK52" i="8"/>
  <c r="AL52" i="8" s="1"/>
  <c r="AK77" i="8"/>
  <c r="AL77" i="8" s="1"/>
  <c r="AK76" i="8"/>
  <c r="AL76" i="8" s="1"/>
  <c r="AK32" i="8"/>
  <c r="AL32" i="8" s="1"/>
  <c r="AK134" i="8"/>
  <c r="AL134" i="8" s="1"/>
  <c r="AK96" i="8"/>
  <c r="AL96" i="8" s="1"/>
  <c r="AK128" i="8"/>
  <c r="AL128" i="8" s="1"/>
  <c r="AK164" i="8"/>
  <c r="AL164" i="8" s="1"/>
  <c r="AK106" i="8"/>
  <c r="AL106" i="8" s="1"/>
  <c r="AK15" i="8"/>
  <c r="AL15" i="8" s="1"/>
  <c r="AK92" i="8"/>
  <c r="AL92" i="8" s="1"/>
  <c r="AK95" i="8"/>
  <c r="AL95" i="8" s="1"/>
  <c r="AK47" i="8"/>
  <c r="AL47" i="8" s="1"/>
  <c r="AK157" i="8"/>
  <c r="AL157" i="8" s="1"/>
  <c r="AK91" i="8"/>
  <c r="AL91" i="8" s="1"/>
  <c r="AK12" i="8"/>
  <c r="AL12" i="8" s="1"/>
  <c r="AK18" i="8"/>
  <c r="AL18" i="8" s="1"/>
  <c r="AK39" i="8"/>
  <c r="AL39" i="8" s="1"/>
  <c r="AK150" i="8"/>
  <c r="AL150" i="8" s="1"/>
  <c r="AK123" i="8"/>
  <c r="AL123" i="8" s="1"/>
  <c r="AK38" i="8"/>
  <c r="AL38" i="8" s="1"/>
  <c r="AK21" i="8"/>
  <c r="AL21" i="8" s="1"/>
  <c r="AK145" i="8"/>
  <c r="AL145" i="8" s="1"/>
  <c r="AK109" i="8"/>
  <c r="AL109" i="8" s="1"/>
  <c r="AK69" i="8"/>
  <c r="AL69" i="8" s="1"/>
  <c r="AK23" i="8"/>
  <c r="AL23" i="8" s="1"/>
  <c r="AK44" i="8"/>
  <c r="AL44" i="8" s="1"/>
  <c r="AK158" i="8"/>
  <c r="AL158" i="8" s="1"/>
  <c r="AK101" i="8"/>
  <c r="AL101" i="8" s="1"/>
  <c r="AK160" i="8"/>
  <c r="AL160" i="8" s="1"/>
  <c r="AK161" i="8"/>
  <c r="AL161" i="8" s="1"/>
  <c r="AK99" i="8"/>
  <c r="AL99" i="8" s="1"/>
  <c r="AK29" i="8"/>
  <c r="AL29" i="8" s="1"/>
  <c r="AK22" i="8"/>
  <c r="AL22" i="8" s="1"/>
  <c r="AK49" i="8"/>
  <c r="AL49" i="8" s="1"/>
  <c r="AK64" i="8"/>
  <c r="AL64" i="8" s="1"/>
  <c r="AK70" i="8"/>
  <c r="AL70" i="8" s="1"/>
  <c r="AK30" i="8"/>
  <c r="AL30" i="8" s="1"/>
  <c r="AK168" i="8"/>
  <c r="AL168" i="8" s="1"/>
  <c r="AK159" i="8"/>
  <c r="AL159" i="8" s="1"/>
  <c r="AK94" i="8"/>
  <c r="AL94" i="8" s="1"/>
  <c r="AK153" i="8"/>
  <c r="AL153" i="8" s="1"/>
  <c r="AK107" i="8"/>
  <c r="AL107" i="8" s="1"/>
  <c r="AK112" i="8"/>
  <c r="AL112" i="8" s="1"/>
  <c r="AK75" i="8"/>
  <c r="AL75" i="8" s="1"/>
  <c r="AK4" i="8"/>
  <c r="AL4" i="8" s="1"/>
  <c r="AK124" i="8"/>
  <c r="AL124" i="8" s="1"/>
  <c r="AK139" i="8"/>
  <c r="AL139" i="8" s="1"/>
  <c r="AK9" i="8"/>
  <c r="AL9" i="8" s="1"/>
  <c r="AK116" i="8"/>
  <c r="AL116" i="8" s="1"/>
  <c r="AK108" i="8"/>
  <c r="AL108" i="8" s="1"/>
  <c r="AK155" i="8"/>
  <c r="AL155" i="8" s="1"/>
  <c r="AK20" i="8"/>
  <c r="AL20" i="8" s="1"/>
  <c r="AK167" i="8"/>
  <c r="AL167" i="8" s="1"/>
  <c r="AK113" i="8"/>
  <c r="AL113" i="8" s="1"/>
  <c r="AK173" i="8"/>
  <c r="AL173" i="8" s="1"/>
  <c r="AK140" i="8"/>
  <c r="AL140" i="8" s="1"/>
  <c r="AK43" i="8"/>
  <c r="AL43" i="8" s="1"/>
  <c r="AK78" i="8"/>
  <c r="AL78" i="8" s="1"/>
  <c r="AK24" i="8"/>
  <c r="AL24" i="8" s="1"/>
  <c r="AK33" i="8"/>
  <c r="AL33" i="8" s="1"/>
  <c r="AK5" i="8"/>
  <c r="AL5" i="8" s="1"/>
  <c r="AK90" i="8"/>
  <c r="AL90" i="8" s="1"/>
  <c r="AK50" i="8"/>
  <c r="AL50" i="8" s="1"/>
  <c r="AK85" i="8"/>
  <c r="AL85" i="8" s="1"/>
  <c r="AK48" i="8"/>
  <c r="AL48" i="8" s="1"/>
  <c r="AK74" i="8"/>
  <c r="AL74" i="8" s="1"/>
  <c r="AK143" i="8"/>
  <c r="AL143" i="8" s="1"/>
  <c r="AK102" i="8"/>
  <c r="AL102" i="8" s="1"/>
  <c r="AK35" i="8"/>
  <c r="AL35" i="8" s="1"/>
  <c r="AK129" i="8"/>
  <c r="AL129" i="8" s="1"/>
  <c r="AK144" i="8"/>
  <c r="AL144" i="8" s="1"/>
  <c r="AK54" i="8"/>
  <c r="AL54" i="8" s="1"/>
  <c r="AK36" i="8"/>
  <c r="AL36" i="8" s="1"/>
  <c r="AK61" i="8"/>
  <c r="AL61" i="8" s="1"/>
  <c r="AL105" i="8"/>
  <c r="AK62" i="8"/>
  <c r="AL62" i="8" s="1"/>
  <c r="AK41" i="8"/>
  <c r="AL41" i="8" s="1"/>
  <c r="AK42" i="8"/>
  <c r="AL42" i="8" s="1"/>
  <c r="AK71" i="8"/>
  <c r="AL71" i="8" s="1"/>
  <c r="AK72" i="8"/>
  <c r="AL72" i="8" s="1"/>
  <c r="AK111" i="8"/>
  <c r="AL111" i="8" s="1"/>
  <c r="AK142" i="8"/>
  <c r="AL142" i="8" s="1"/>
  <c r="AK27" i="8"/>
  <c r="AL27" i="8" s="1"/>
  <c r="AK131" i="8"/>
  <c r="AL131" i="8" s="1"/>
  <c r="AK73" i="8"/>
  <c r="AL73" i="8" s="1"/>
  <c r="AK65" i="8"/>
  <c r="AL65" i="8" s="1"/>
  <c r="AK19" i="8"/>
  <c r="AL19" i="8" s="1"/>
  <c r="AK135" i="8"/>
  <c r="AL135" i="8" s="1"/>
  <c r="AK86" i="8"/>
  <c r="AL86" i="8" s="1"/>
  <c r="AK163" i="8"/>
  <c r="AL163" i="8" s="1"/>
  <c r="AK8" i="8"/>
  <c r="AL8" i="8" s="1"/>
  <c r="AK120" i="8"/>
  <c r="AL120" i="8" s="1"/>
  <c r="AK151" i="8"/>
  <c r="AL151" i="8" s="1"/>
  <c r="AK7" i="8"/>
  <c r="AL7" i="8" s="1"/>
  <c r="AK79" i="8"/>
  <c r="AL79" i="8" s="1"/>
  <c r="AK80" i="8"/>
  <c r="AL80" i="8" s="1"/>
  <c r="AK147" i="8"/>
  <c r="AL147" i="8" s="1"/>
  <c r="AK58" i="8"/>
  <c r="AL58" i="8" s="1"/>
  <c r="AK88" i="8"/>
  <c r="AL88" i="8" s="1"/>
  <c r="AK127" i="8"/>
  <c r="AL127" i="8" s="1"/>
  <c r="AK114" i="8"/>
  <c r="AL114" i="8" s="1"/>
  <c r="AK146" i="8"/>
  <c r="AL146" i="8" s="1"/>
  <c r="AK87" i="8"/>
  <c r="AL87" i="8" s="1"/>
  <c r="AK126" i="8"/>
  <c r="AL126" i="8" s="1"/>
  <c r="AK132" i="8"/>
  <c r="AL132" i="8" s="1"/>
  <c r="AK89" i="8"/>
  <c r="AL89" i="8" s="1"/>
  <c r="AL63" i="8" l="1"/>
  <c r="AG63" i="8"/>
  <c r="BH3" i="9"/>
  <c r="BH4" i="9"/>
  <c r="BH5" i="9"/>
  <c r="BH6" i="9"/>
  <c r="BH7" i="9"/>
  <c r="BH8" i="9"/>
  <c r="BH9" i="9"/>
  <c r="BH10" i="9"/>
  <c r="BH11" i="9"/>
  <c r="BH12" i="9"/>
  <c r="BH13" i="9"/>
  <c r="BH14" i="9"/>
  <c r="BH15" i="9"/>
  <c r="BH16" i="9"/>
  <c r="BH17" i="9"/>
  <c r="BH18" i="9"/>
  <c r="BH19" i="9"/>
  <c r="BH20" i="9"/>
  <c r="BH21" i="9"/>
  <c r="BH22" i="9"/>
  <c r="BH23" i="9"/>
  <c r="BH24" i="9"/>
  <c r="BH25" i="9"/>
  <c r="BH26" i="9"/>
  <c r="BH27" i="9"/>
  <c r="BH28" i="9"/>
  <c r="BH29" i="9"/>
  <c r="BH30" i="9"/>
  <c r="BH31" i="9"/>
  <c r="BH32" i="9"/>
  <c r="BH33" i="9"/>
  <c r="BH34" i="9"/>
  <c r="BH35" i="9"/>
  <c r="BH36" i="9"/>
  <c r="BH37" i="9"/>
  <c r="BH38" i="9"/>
  <c r="BH39" i="9"/>
  <c r="BH40" i="9"/>
  <c r="BH41" i="9"/>
  <c r="BH42" i="9"/>
  <c r="BH43" i="9"/>
  <c r="BH44" i="9"/>
  <c r="BH48" i="9"/>
  <c r="BH49" i="9"/>
  <c r="BH50" i="9"/>
  <c r="BH51" i="9"/>
  <c r="BH52" i="9"/>
  <c r="BH53" i="9"/>
  <c r="BH54" i="9"/>
  <c r="BH55" i="9"/>
  <c r="BH56" i="9"/>
  <c r="BH57" i="9"/>
  <c r="BH58" i="9"/>
  <c r="BH59" i="9"/>
  <c r="BH60" i="9"/>
  <c r="BH61" i="9"/>
  <c r="BH62" i="9"/>
  <c r="BH63" i="9"/>
  <c r="BH64" i="9"/>
  <c r="BH65" i="9"/>
  <c r="BH66" i="9"/>
  <c r="BH67" i="9"/>
  <c r="BH68" i="9"/>
  <c r="BH69" i="9"/>
  <c r="BH70" i="9"/>
  <c r="BH71" i="9"/>
  <c r="BH72" i="9"/>
  <c r="BH73" i="9"/>
  <c r="BH74" i="9"/>
  <c r="BH75" i="9"/>
  <c r="BH76" i="9"/>
  <c r="BH77" i="9"/>
  <c r="BH78" i="9"/>
  <c r="BH79" i="9"/>
  <c r="BH80" i="9"/>
  <c r="BH81" i="9"/>
  <c r="BH82" i="9"/>
  <c r="BH83" i="9"/>
  <c r="BH84" i="9"/>
  <c r="BH85" i="9"/>
  <c r="BH86" i="9"/>
  <c r="BH87" i="9"/>
  <c r="BH88" i="9"/>
  <c r="BH89" i="9"/>
  <c r="BH90" i="9"/>
  <c r="BB3" i="9"/>
  <c r="BB4" i="9"/>
  <c r="BB5" i="9"/>
  <c r="BB6" i="9"/>
  <c r="BB7" i="9"/>
  <c r="BB8" i="9"/>
  <c r="BB9" i="9"/>
  <c r="BB10" i="9"/>
  <c r="BB11" i="9"/>
  <c r="BB12" i="9"/>
  <c r="BB13" i="9"/>
  <c r="BB14" i="9"/>
  <c r="BB15" i="9"/>
  <c r="BB16" i="9"/>
  <c r="BB17" i="9"/>
  <c r="BB18" i="9"/>
  <c r="BB19" i="9"/>
  <c r="BB20" i="9"/>
  <c r="BB21" i="9"/>
  <c r="BB22" i="9"/>
  <c r="BB23" i="9"/>
  <c r="BB24" i="9"/>
  <c r="BB25" i="9"/>
  <c r="BB26" i="9"/>
  <c r="BB27" i="9"/>
  <c r="BB28" i="9"/>
  <c r="BB29" i="9"/>
  <c r="BB30" i="9"/>
  <c r="BB31" i="9"/>
  <c r="BB32" i="9"/>
  <c r="BB33" i="9"/>
  <c r="BB34" i="9"/>
  <c r="BB35" i="9"/>
  <c r="BB36" i="9"/>
  <c r="BB37" i="9"/>
  <c r="BB38" i="9"/>
  <c r="BB39" i="9"/>
  <c r="BB40" i="9"/>
  <c r="BB41" i="9"/>
  <c r="BB42" i="9"/>
  <c r="BB43" i="9"/>
  <c r="BB44" i="9"/>
  <c r="BB48" i="9"/>
  <c r="BB49" i="9"/>
  <c r="BB50" i="9"/>
  <c r="BB51" i="9"/>
  <c r="BB52" i="9"/>
  <c r="BB53" i="9"/>
  <c r="BB54" i="9"/>
  <c r="BB55" i="9"/>
  <c r="BB56" i="9"/>
  <c r="BB57" i="9"/>
  <c r="BB58" i="9"/>
  <c r="BB59" i="9"/>
  <c r="BB60" i="9"/>
  <c r="BB61" i="9"/>
  <c r="BB62" i="9"/>
  <c r="BB63" i="9"/>
  <c r="BB64" i="9"/>
  <c r="BB65" i="9"/>
  <c r="BB66" i="9"/>
  <c r="BB67" i="9"/>
  <c r="BB68" i="9"/>
  <c r="BB69" i="9"/>
  <c r="BB70" i="9"/>
  <c r="BB71" i="9"/>
  <c r="BB72" i="9"/>
  <c r="BB73" i="9"/>
  <c r="BB74" i="9"/>
  <c r="BB75" i="9"/>
  <c r="BB76" i="9"/>
  <c r="BB77" i="9"/>
  <c r="BB78" i="9"/>
  <c r="BB79" i="9"/>
  <c r="BB80" i="9"/>
  <c r="BB83" i="9"/>
  <c r="BB84" i="9"/>
  <c r="BB85" i="9"/>
  <c r="BB86" i="9"/>
  <c r="BB87" i="9"/>
  <c r="BB88" i="9"/>
  <c r="BB89" i="9"/>
  <c r="BB90" i="9"/>
  <c r="AV3" i="9"/>
  <c r="AV4" i="9"/>
  <c r="AV5" i="9"/>
  <c r="AV6" i="9"/>
  <c r="AV7" i="9"/>
  <c r="AV8" i="9"/>
  <c r="AV9" i="9"/>
  <c r="AV10" i="9"/>
  <c r="AV11" i="9"/>
  <c r="AV12" i="9"/>
  <c r="AV13" i="9"/>
  <c r="AV14" i="9"/>
  <c r="AV15" i="9"/>
  <c r="AV16" i="9"/>
  <c r="AV17" i="9"/>
  <c r="AV18" i="9"/>
  <c r="AV19" i="9"/>
  <c r="AV20" i="9"/>
  <c r="AV21" i="9"/>
  <c r="AV22" i="9"/>
  <c r="AV23" i="9"/>
  <c r="AV24" i="9"/>
  <c r="AV25" i="9"/>
  <c r="AV26" i="9"/>
  <c r="AV27" i="9"/>
  <c r="AV28" i="9"/>
  <c r="AV29" i="9"/>
  <c r="AV30" i="9"/>
  <c r="AV31" i="9"/>
  <c r="AV32" i="9"/>
  <c r="AV33" i="9"/>
  <c r="AV34" i="9"/>
  <c r="AV35" i="9"/>
  <c r="AV36" i="9"/>
  <c r="AV37" i="9"/>
  <c r="AV38" i="9"/>
  <c r="AV39" i="9"/>
  <c r="AV40" i="9"/>
  <c r="AV41" i="9"/>
  <c r="AV42" i="9"/>
  <c r="AV43" i="9"/>
  <c r="AV44" i="9"/>
  <c r="AV48" i="9"/>
  <c r="AV49" i="9"/>
  <c r="AV50" i="9"/>
  <c r="AV51" i="9"/>
  <c r="AV52" i="9"/>
  <c r="AV53" i="9"/>
  <c r="AV54" i="9"/>
  <c r="AV55" i="9"/>
  <c r="AV56" i="9"/>
  <c r="AV57" i="9"/>
  <c r="AV58" i="9"/>
  <c r="AV59" i="9"/>
  <c r="AV60" i="9"/>
  <c r="AV61" i="9"/>
  <c r="AV62" i="9"/>
  <c r="AV63" i="9"/>
  <c r="AV64" i="9"/>
  <c r="AV65" i="9"/>
  <c r="AV66" i="9"/>
  <c r="AV67" i="9"/>
  <c r="AV68" i="9"/>
  <c r="AV69" i="9"/>
  <c r="AV70" i="9"/>
  <c r="AV71" i="9"/>
  <c r="AV72" i="9"/>
  <c r="AV73" i="9"/>
  <c r="AV74" i="9"/>
  <c r="AV75" i="9"/>
  <c r="AV76" i="9"/>
  <c r="AV77" i="9"/>
  <c r="AV78" i="9"/>
  <c r="AV79" i="9"/>
  <c r="AV80" i="9"/>
  <c r="AV81" i="9"/>
  <c r="AV82" i="9"/>
  <c r="AV83" i="9"/>
  <c r="AV84" i="9"/>
  <c r="AV85" i="9"/>
  <c r="AV86" i="9"/>
  <c r="AV87" i="9"/>
  <c r="AV88" i="9"/>
  <c r="AV89" i="9"/>
  <c r="AV90" i="9"/>
  <c r="AV57" i="8" l="1"/>
  <c r="AV110" i="8"/>
  <c r="AV67" i="8"/>
  <c r="AV26" i="8"/>
  <c r="AV130" i="8"/>
  <c r="AV3" i="8"/>
  <c r="AV162" i="8"/>
  <c r="AV82" i="8"/>
  <c r="AV136" i="8"/>
  <c r="AV84" i="8"/>
  <c r="AV170" i="8"/>
  <c r="AV68" i="8"/>
  <c r="AV28" i="8"/>
  <c r="AV34" i="8"/>
  <c r="AV10" i="8"/>
  <c r="AV40" i="8"/>
  <c r="AV118" i="8"/>
  <c r="AV98" i="8"/>
  <c r="AV137" i="8"/>
  <c r="AV63" i="8"/>
  <c r="AV138" i="8"/>
  <c r="AV11" i="8"/>
  <c r="AV121" i="8"/>
  <c r="AV149" i="8"/>
  <c r="AV55" i="8"/>
  <c r="AV148" i="8"/>
  <c r="AV154" i="8"/>
  <c r="AV117" i="8"/>
  <c r="AV25" i="8"/>
  <c r="AV100" i="8"/>
  <c r="AV52" i="8"/>
  <c r="AV77" i="8"/>
  <c r="AV76" i="8"/>
  <c r="AV32" i="8"/>
  <c r="AV134" i="8"/>
  <c r="AV96" i="8"/>
  <c r="AV128" i="8"/>
  <c r="AV164" i="8"/>
  <c r="AV106" i="8"/>
  <c r="AV92" i="8"/>
  <c r="AV95" i="8"/>
  <c r="AV47" i="8"/>
  <c r="AV157" i="8"/>
  <c r="AV91" i="8"/>
  <c r="AV12" i="8"/>
  <c r="AV18" i="8"/>
  <c r="AV39" i="8"/>
  <c r="AV150" i="8"/>
  <c r="AV123" i="8"/>
  <c r="AV38" i="8"/>
  <c r="AV21" i="8"/>
  <c r="AV145" i="8"/>
  <c r="AV109" i="8"/>
  <c r="AV69" i="8"/>
  <c r="AV23" i="8"/>
  <c r="AV44" i="8"/>
  <c r="AV158" i="8"/>
  <c r="AV101" i="8"/>
  <c r="AV160" i="8"/>
  <c r="AV161" i="8"/>
  <c r="AV99" i="8"/>
  <c r="AV29" i="8"/>
  <c r="AV22" i="8"/>
  <c r="AV49" i="8"/>
  <c r="AV64" i="8"/>
  <c r="AV70" i="8"/>
  <c r="AV30" i="8"/>
  <c r="AV168" i="8"/>
  <c r="AV159" i="8"/>
  <c r="AV94" i="8"/>
  <c r="AV153" i="8"/>
  <c r="AV107" i="8"/>
  <c r="AV112" i="8"/>
  <c r="AV75" i="8"/>
  <c r="AV4" i="8"/>
  <c r="AV124" i="8"/>
  <c r="AV139" i="8"/>
  <c r="AV9" i="8"/>
  <c r="AV116" i="8"/>
  <c r="AV108" i="8"/>
  <c r="AV155" i="8"/>
  <c r="AV20" i="8"/>
  <c r="AV167" i="8"/>
  <c r="AV113" i="8"/>
  <c r="AV173" i="8"/>
  <c r="AV140" i="8"/>
  <c r="AV43" i="8"/>
  <c r="AV78" i="8"/>
  <c r="AV24" i="8"/>
  <c r="AV33" i="8"/>
  <c r="AV5" i="8"/>
  <c r="AV90" i="8"/>
  <c r="AV50" i="8"/>
  <c r="AV85" i="8"/>
  <c r="AV48" i="8"/>
  <c r="AV74" i="8"/>
  <c r="AV143" i="8"/>
  <c r="AV102" i="8"/>
  <c r="AV35" i="8"/>
  <c r="AV129" i="8"/>
  <c r="AV144" i="8"/>
  <c r="AV54" i="8"/>
  <c r="AV36" i="8"/>
  <c r="AV61" i="8"/>
  <c r="AV105" i="8"/>
  <c r="AV62" i="8"/>
  <c r="AV41" i="8"/>
  <c r="AV42" i="8"/>
  <c r="AV71" i="8"/>
  <c r="AV72" i="8"/>
  <c r="AV111" i="8"/>
  <c r="AV142" i="8"/>
  <c r="AV27" i="8"/>
  <c r="AV131" i="8"/>
  <c r="AV73" i="8"/>
  <c r="AV65" i="8"/>
  <c r="AV19" i="8"/>
  <c r="AV135" i="8"/>
  <c r="AV86" i="8"/>
  <c r="AV163" i="8"/>
  <c r="AV8" i="8"/>
  <c r="AV120" i="8"/>
  <c r="AV151" i="8"/>
  <c r="AV7" i="8"/>
  <c r="AV79" i="8"/>
  <c r="AV80" i="8"/>
  <c r="AV147" i="8"/>
  <c r="AV58" i="8"/>
  <c r="AV88" i="8"/>
  <c r="AV127" i="8"/>
  <c r="AV114" i="8"/>
  <c r="AV146" i="8"/>
  <c r="AV87" i="8"/>
  <c r="AV126" i="8"/>
  <c r="AV132" i="8"/>
  <c r="AV89" i="8"/>
  <c r="C5"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tc={FC1407E1-A144-4FE5-BFAF-A162B3EFBA0A}</author>
  </authors>
  <commentList>
    <comment ref="AG2" authorId="0" shapeId="0" xr:uid="{FC1407E1-A144-4FE5-BFAF-A162B3EFBA0A}">
      <text>
        <t>[Threaded comment]
Your version of Excel allows you to read this threaded comment; however, any edits to it will get removed if the file is opened in a newer version of Excel. Learn more: https://go.microsoft.com/fwlink/?linkid=870924
Comment:
    pulled from Jan 2019 pricing spreadsheet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tc={C8B45F5E-44DF-42BC-BB26-454E689191A1}</author>
    <author>tc={73B4DF03-D5A5-43B0-A816-3C0B6D145DB8}</author>
    <author>tc={2CE29086-DFBB-4E71-B380-1585AB988F22}</author>
    <author>tc={AD465422-DE16-43CD-84F6-E68E3E0C627A}</author>
    <author>tc={8DCC4006-2E8C-4353-A496-7F674883DC9C}</author>
    <author>Author</author>
  </authors>
  <commentList>
    <comment ref="I12" authorId="0" shapeId="0" xr:uid="{C8B45F5E-44DF-42BC-BB26-454E689191A1}">
      <text>
        <t>[Threaded comment]
Your version of Excel allows you to read this threaded comment; however, any edits to it will get removed if the file is opened in a newer version of Excel. Learn more: https://go.microsoft.com/fwlink/?linkid=870924
Comment:
    Pulled first available WAC</t>
      </text>
    </comment>
    <comment ref="T40" authorId="1" shapeId="0" xr:uid="{73B4DF03-D5A5-43B0-A816-3C0B6D145DB8}">
      <text>
        <t>[Threaded comment]
Your version of Excel allows you to read this threaded comment; however, any edits to it will get removed if the file is opened in a newer version of Excel. Learn more: https://go.microsoft.com/fwlink/?linkid=870924
Comment:
    update in Jul 17 extraction</t>
      </text>
    </comment>
    <comment ref="K47" authorId="2" shapeId="0" xr:uid="{2CE29086-DFBB-4E71-B380-1585AB988F22}">
      <text>
        <t>[Threaded comment]
Your version of Excel allows you to read this threaded comment; however, any edits to it will get removed if the file is opened in a newer version of Excel. Learn more: https://go.microsoft.com/fwlink/?linkid=870924
Comment:
    Pulled first available AWP</t>
      </text>
    </comment>
    <comment ref="T47" authorId="3" shapeId="0" xr:uid="{AD465422-DE16-43CD-84F6-E68E3E0C627A}">
      <text>
        <t>[Threaded comment]
Your version of Excel allows you to read this threaded comment; however, any edits to it will get removed if the file is opened in a newer version of Excel. Learn more: https://go.microsoft.com/fwlink/?linkid=870924
Comment:
    update in Jul 17 extraction</t>
      </text>
    </comment>
    <comment ref="V47" authorId="4" shapeId="0" xr:uid="{8DCC4006-2E8C-4353-A496-7F674883DC9C}">
      <text>
        <t>[Threaded comment]
Your version of Excel allows you to read this threaded comment; however, any edits to it will get removed if the file is opened in a newer version of Excel. Learn more: https://go.microsoft.com/fwlink/?linkid=870924
Comment:
    dosage change?</t>
      </text>
    </comment>
    <comment ref="Z93" authorId="5" shapeId="0" xr:uid="{74D7D60F-4E2F-4681-ACE4-472A4CF968E9}">
      <text>
        <r>
          <rPr>
            <b/>
            <sz val="9"/>
            <color indexed="81"/>
            <rFont val="Tahoma"/>
            <charset val="1"/>
          </rPr>
          <t>Author:</t>
        </r>
        <r>
          <rPr>
            <sz val="9"/>
            <color indexed="81"/>
            <rFont val="Tahoma"/>
            <charset val="1"/>
          </rPr>
          <t xml:space="preserve">
There is no data in RedBook between OCT2016-FEB2019 regarding pricing or manufacturer. Same point in time when Takdeda Pharma was buying out Ariad Pharma (the two manufacturers of ponatinib "Iclusig"). The 45mg dose was retroactively applied as the WAC that is available from Redbook in FEB2019 is the same as the WAC in OCT2016.</t>
        </r>
      </text>
    </comment>
    <comment ref="AF93" authorId="5" shapeId="0" xr:uid="{89BD2EFB-158E-4F6D-86CE-8FD1B46C4D74}">
      <text>
        <r>
          <rPr>
            <b/>
            <sz val="9"/>
            <color indexed="81"/>
            <rFont val="Tahoma"/>
            <charset val="1"/>
          </rPr>
          <t>Author:</t>
        </r>
        <r>
          <rPr>
            <sz val="9"/>
            <color indexed="81"/>
            <rFont val="Tahoma"/>
            <charset val="1"/>
          </rPr>
          <t xml:space="preserve">
There is no data in RedBook between OCT2016-FEB2019 regarding pricing or manufacturer. Same point in time when Takdeda Pharma was buying out Ariad Pharma (the two manufacturers of ponatinib "Iclusig"). The 45mg dose was retroactively applied as the WAC that is available from Redbook in FEB2019 is the same as the WAC in OCT2016.</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1888D913-16F7-4B84-BBCD-43A4661E687C}">
      <text>
        <r>
          <rPr>
            <b/>
            <sz val="9"/>
            <color indexed="81"/>
            <rFont val="Tahoma"/>
            <family val="2"/>
          </rPr>
          <t>Author:</t>
        </r>
        <r>
          <rPr>
            <sz val="9"/>
            <color indexed="81"/>
            <rFont val="Tahoma"/>
            <family val="2"/>
          </rPr>
          <t xml:space="preserve">
There are 22,000,000 units (22 million) per vial. So, the 3,000,000 unit does would be 0.136363636 of a vial. </t>
        </r>
      </text>
    </comment>
  </commentList>
</comments>
</file>

<file path=xl/sharedStrings.xml><?xml version="1.0" encoding="utf-8"?>
<sst xmlns="http://schemas.openxmlformats.org/spreadsheetml/2006/main" count="36419" uniqueCount="2865">
  <si>
    <t>Unique Drugs All ROA</t>
  </si>
  <si>
    <t>Doxorubicin IV</t>
  </si>
  <si>
    <t>Docetaxel IV</t>
  </si>
  <si>
    <t>Methotrexate IV</t>
  </si>
  <si>
    <t>Epirubicin IV</t>
  </si>
  <si>
    <t>Capecitabine PO</t>
  </si>
  <si>
    <t>Paclitaxel IV</t>
  </si>
  <si>
    <t>Ado-trastuzumab emtansine IV</t>
  </si>
  <si>
    <t>Trastuzumab IV</t>
  </si>
  <si>
    <t>Tamoxifen PO</t>
  </si>
  <si>
    <t>Toremifene PO</t>
  </si>
  <si>
    <t>Anastrozole PO</t>
  </si>
  <si>
    <t>Letrozole PO</t>
  </si>
  <si>
    <t>Fulvestrant IM</t>
  </si>
  <si>
    <t>Exemestane PO</t>
  </si>
  <si>
    <t>Palbociclib PO</t>
  </si>
  <si>
    <t>Ribociclib PO</t>
  </si>
  <si>
    <t>Abemaciclib PO</t>
  </si>
  <si>
    <t>Megestrol acetate PO</t>
  </si>
  <si>
    <t>Pegylated liposomal doxorubicin IV</t>
  </si>
  <si>
    <t>Gemcitabine IV</t>
  </si>
  <si>
    <t>Vinorelbine IV</t>
  </si>
  <si>
    <t>Eribulin IV</t>
  </si>
  <si>
    <t>Olaparib PO</t>
  </si>
  <si>
    <t>Talazoparib PO</t>
  </si>
  <si>
    <t>Carboplatin IV</t>
  </si>
  <si>
    <t>Cisplatin IV</t>
  </si>
  <si>
    <t>Atezolizumab IV</t>
  </si>
  <si>
    <t>Cyclophosphamide PO</t>
  </si>
  <si>
    <t>Nab-paclitaxel IV</t>
  </si>
  <si>
    <t>Ixabepilone IV</t>
  </si>
  <si>
    <t>Lapatinib PO</t>
  </si>
  <si>
    <t>Afatinib PO</t>
  </si>
  <si>
    <t>Dacomitinib PO</t>
  </si>
  <si>
    <t>Erlotinib PO</t>
  </si>
  <si>
    <t>Gefitinib PO</t>
  </si>
  <si>
    <t>Osimertinib PO</t>
  </si>
  <si>
    <t>Alectinib PO</t>
  </si>
  <si>
    <t>Brigatinib PO</t>
  </si>
  <si>
    <t>Ceritinib PO</t>
  </si>
  <si>
    <t>Crizotinib PO</t>
  </si>
  <si>
    <t>Lorlatinib PO</t>
  </si>
  <si>
    <t>Dabrafenib PO</t>
  </si>
  <si>
    <t>Vemurafenib PO</t>
  </si>
  <si>
    <t>Larotrectinib PO</t>
  </si>
  <si>
    <t>Pembrolizumab IV</t>
  </si>
  <si>
    <t>Durvalumab IV</t>
  </si>
  <si>
    <t>Pemetrexed IV</t>
  </si>
  <si>
    <t>Bevacizumab IV</t>
  </si>
  <si>
    <t>Nivolumab IV</t>
  </si>
  <si>
    <t>Ramucirumab IV</t>
  </si>
  <si>
    <t>Apalutamide PO</t>
  </si>
  <si>
    <t>Dexamethasone PO</t>
  </si>
  <si>
    <t>Enzalutamide PO</t>
  </si>
  <si>
    <t>Ketoconazole PO</t>
  </si>
  <si>
    <t>Bicalutamide PO</t>
  </si>
  <si>
    <t>Abiraterone Z PO</t>
  </si>
  <si>
    <t>Abiraterone Y PO</t>
  </si>
  <si>
    <t>Radium 223 IV</t>
  </si>
  <si>
    <t>Sipuleucel-T IV</t>
  </si>
  <si>
    <t>Mitoxantrone IV</t>
  </si>
  <si>
    <t>Cabazitaxel IV</t>
  </si>
  <si>
    <t>Leuprolide IM</t>
  </si>
  <si>
    <t>Degarelix SUBQ</t>
  </si>
  <si>
    <t>Fluorouracil PUMP</t>
  </si>
  <si>
    <t>Fluorouracil IV</t>
  </si>
  <si>
    <t>Cetuximab IV</t>
  </si>
  <si>
    <t>Panitumumab IV</t>
  </si>
  <si>
    <t>Irinotecan IV</t>
  </si>
  <si>
    <t>Encorafenib PO</t>
  </si>
  <si>
    <t>Oxaliplatin IV</t>
  </si>
  <si>
    <t>Regorafenib PO</t>
  </si>
  <si>
    <t>Lonsurf PO</t>
  </si>
  <si>
    <t>T-VEC intralesional</t>
  </si>
  <si>
    <t>Melphalan IV</t>
  </si>
  <si>
    <t>BCG intralesional</t>
  </si>
  <si>
    <t>Interferon alfa intralesional</t>
  </si>
  <si>
    <t>Interleukin-2 intralesional</t>
  </si>
  <si>
    <t>Imiquimod topical</t>
  </si>
  <si>
    <t>Ipilimumab IV</t>
  </si>
  <si>
    <t>Interleukin-2 IV</t>
  </si>
  <si>
    <t>Dacarbazine IV</t>
  </si>
  <si>
    <t>Temozolomide PO</t>
  </si>
  <si>
    <t>Imatinib PO</t>
  </si>
  <si>
    <t>Ifosfamide IV</t>
  </si>
  <si>
    <t>Avelumab IV</t>
  </si>
  <si>
    <t>Erdafitinib PO</t>
  </si>
  <si>
    <t>Bendamustine IV</t>
  </si>
  <si>
    <t>Cyclophosphamide IV</t>
  </si>
  <si>
    <t>Lenalidomide PO</t>
  </si>
  <si>
    <t>Rituximab IV</t>
  </si>
  <si>
    <t>Chlorambucil PO</t>
  </si>
  <si>
    <t>Ibritumomab tiuxetan IV</t>
  </si>
  <si>
    <t>Obinutuzumab IV</t>
  </si>
  <si>
    <t>Idelalisib PO</t>
  </si>
  <si>
    <t>Copanlisib IV</t>
  </si>
  <si>
    <t>Duvelisib PO</t>
  </si>
  <si>
    <t>Acalabrutinib PO</t>
  </si>
  <si>
    <t>Venetoclax PO</t>
  </si>
  <si>
    <t>Bortezomib IV</t>
  </si>
  <si>
    <t>Prednisone PO</t>
  </si>
  <si>
    <t>Methotrexate IT</t>
  </si>
  <si>
    <t>Etoposide IV</t>
  </si>
  <si>
    <t>Brentuximab vedotin IV</t>
  </si>
  <si>
    <t>Axicabtagene ciloleucel IV</t>
  </si>
  <si>
    <t>Tisagenlecleucel IV</t>
  </si>
  <si>
    <t>Cytarabine IV</t>
  </si>
  <si>
    <t>Sunitinib PO</t>
  </si>
  <si>
    <t>Axitinib PO</t>
  </si>
  <si>
    <t>Pazopanib PO</t>
  </si>
  <si>
    <t>Cabozantinib PO</t>
  </si>
  <si>
    <t>Temsirolimus IV</t>
  </si>
  <si>
    <t>Everolimus PO</t>
  </si>
  <si>
    <t>Sorafenib PO</t>
  </si>
  <si>
    <t>Liposomal doxorubicin IV</t>
  </si>
  <si>
    <t>Topotecan IV</t>
  </si>
  <si>
    <t>Medroxyprogesterone acetate PO</t>
  </si>
  <si>
    <t>Progesterone PO</t>
  </si>
  <si>
    <t>Trabectedin IV</t>
  </si>
  <si>
    <t>Leucovorin IV</t>
  </si>
  <si>
    <t>Lenvatinib PO</t>
  </si>
  <si>
    <t>Carfilzomib IV</t>
  </si>
  <si>
    <t>Ixazomib PO</t>
  </si>
  <si>
    <t>Bortezomib SUBQ</t>
  </si>
  <si>
    <t>Daratumumab IV</t>
  </si>
  <si>
    <t>Elotuzumab IV</t>
  </si>
  <si>
    <t>Panobinostat PO</t>
  </si>
  <si>
    <t>Pomalidomide PO</t>
  </si>
  <si>
    <t>Etoposide PO</t>
  </si>
  <si>
    <t>Procarbazine PO</t>
  </si>
  <si>
    <t>Lomustine PO</t>
  </si>
  <si>
    <t>Carmustine IV</t>
  </si>
  <si>
    <t>Vincristine IV</t>
  </si>
  <si>
    <t>Vismodegib PO</t>
  </si>
  <si>
    <t>Thiotepa IV</t>
  </si>
  <si>
    <t>Interferon SUBQ</t>
  </si>
  <si>
    <t>Sandostatin IM</t>
  </si>
  <si>
    <t>Melphalan PO</t>
  </si>
  <si>
    <t>Rucaparib PO</t>
  </si>
  <si>
    <t>Niraparib PO</t>
  </si>
  <si>
    <t>Methylprednisolone IV</t>
  </si>
  <si>
    <t>Fludarabine IV</t>
  </si>
  <si>
    <t>Alemtuzumab IV</t>
  </si>
  <si>
    <t>Ofatumumab IV</t>
  </si>
  <si>
    <t>Pentostatin IV</t>
  </si>
  <si>
    <t>Tretinoin PO</t>
  </si>
  <si>
    <t>Arsenic trioxide IV</t>
  </si>
  <si>
    <t>Mitomycin IV</t>
  </si>
  <si>
    <t>Mesna IV</t>
  </si>
  <si>
    <t>Dasatinib PO</t>
  </si>
  <si>
    <t>Nilotinib PO</t>
  </si>
  <si>
    <t>Sulindac PO</t>
  </si>
  <si>
    <t>Sirolimus PO</t>
  </si>
  <si>
    <t>Bleomycin IV</t>
  </si>
  <si>
    <t>Vinblastine IV</t>
  </si>
  <si>
    <t>Bosutinib PO</t>
  </si>
  <si>
    <t>Trametinib PO</t>
  </si>
  <si>
    <t>Hydrocortisone PO</t>
  </si>
  <si>
    <t>Methylprednisolone PO</t>
  </si>
  <si>
    <t>Binimetinib PO</t>
  </si>
  <si>
    <t>Ziv-aflibercept IV</t>
  </si>
  <si>
    <t>Pertuzumab IV</t>
  </si>
  <si>
    <t>Cobimetinib PO</t>
  </si>
  <si>
    <t>Cytarabine IT</t>
  </si>
  <si>
    <t>Fluorouracil REFILL</t>
  </si>
  <si>
    <t>Hydroxyurea PO</t>
  </si>
  <si>
    <t>Thalidomide PO</t>
  </si>
  <si>
    <t>Busulfan IV</t>
  </si>
  <si>
    <t>Cisplatin IP</t>
  </si>
  <si>
    <t>Alemtuzumab SUBQ</t>
  </si>
  <si>
    <t>Idarubicin IV</t>
  </si>
  <si>
    <t>Daunorubicin IV</t>
  </si>
  <si>
    <t>Gemtuzumab ozogamicin IV</t>
  </si>
  <si>
    <t>Dactinomycin IV</t>
  </si>
  <si>
    <t>Filgrastim SUBQ</t>
  </si>
  <si>
    <t>Prednisolone PO</t>
  </si>
  <si>
    <t>Liposomal irinotecan IV</t>
  </si>
  <si>
    <t>Cisplatin PUMP</t>
  </si>
  <si>
    <t>Leucovorin PO</t>
  </si>
  <si>
    <t>Paclitaxel IP</t>
  </si>
  <si>
    <t>Prednisone IV</t>
  </si>
  <si>
    <t>Dexamethasone IV</t>
  </si>
  <si>
    <t>Cisplatin REFILL</t>
  </si>
  <si>
    <t>Doxorubicin PUMP</t>
  </si>
  <si>
    <t>Mechlorethamine IV</t>
  </si>
  <si>
    <t>Doxorubicin REFILL</t>
  </si>
  <si>
    <t>Cyclophosphamide PUMP</t>
  </si>
  <si>
    <t>Cyclophosphamide REFILL</t>
  </si>
  <si>
    <t>Etoposide PUMP</t>
  </si>
  <si>
    <t>Etoposide REFILL</t>
  </si>
  <si>
    <t>Methylprednisolone IT</t>
  </si>
  <si>
    <t>Q2050</t>
  </si>
  <si>
    <t>J9171</t>
  </si>
  <si>
    <t>J9250</t>
  </si>
  <si>
    <t>Notes</t>
  </si>
  <si>
    <t>J9178</t>
  </si>
  <si>
    <t>HCPCS Code Dosage</t>
  </si>
  <si>
    <t>Payment Limit</t>
  </si>
  <si>
    <t>1 MG</t>
  </si>
  <si>
    <t>10 MG</t>
  </si>
  <si>
    <t>5 MG</t>
  </si>
  <si>
    <t>HCPCS Code</t>
  </si>
  <si>
    <t>Short Description</t>
  </si>
  <si>
    <t>Hep b ig im</t>
  </si>
  <si>
    <t>1 ML</t>
  </si>
  <si>
    <t>Rabies ig im/sc</t>
  </si>
  <si>
    <t>150 IU</t>
  </si>
  <si>
    <t>Rabies ig heat treated</t>
  </si>
  <si>
    <t>Bcg vaccine percut</t>
  </si>
  <si>
    <t>50 MG</t>
  </si>
  <si>
    <t>Bcg vaccine intravesical</t>
  </si>
  <si>
    <t>1 EACH</t>
  </si>
  <si>
    <t>Hepa vaccine adult im</t>
  </si>
  <si>
    <t>Iiv adjuvant vaccine im</t>
  </si>
  <si>
    <t>0.5 ml</t>
  </si>
  <si>
    <t>Iiv3 vacc no prsv 0.5 ml im</t>
  </si>
  <si>
    <t>0.5 ML</t>
  </si>
  <si>
    <t>Iiv no prsv increased ag im</t>
  </si>
  <si>
    <t>Pcv13 vaccine im</t>
  </si>
  <si>
    <t>Cciiv4 vac no prsv 0.5 ml im</t>
  </si>
  <si>
    <t>Rabies vaccine im</t>
  </si>
  <si>
    <t>Riv4 vacc recombinant dna im</t>
  </si>
  <si>
    <t>Iiv4 vacc no prsv 0.25 ml im</t>
  </si>
  <si>
    <t>0.25 mL</t>
  </si>
  <si>
    <t>Iiv4 vacc no prsv 0.5 ml im</t>
  </si>
  <si>
    <t>Iiv4 vaccine splt 0.25 ml im</t>
  </si>
  <si>
    <t>0.25 ML</t>
  </si>
  <si>
    <t>Iiv4 vaccine splt 0.5 ml im</t>
  </si>
  <si>
    <t>Typhoid vaccine im</t>
  </si>
  <si>
    <t>Td vacc no presv 7 yrs+ im</t>
  </si>
  <si>
    <t>Tdap vaccine 7 yrs/&gt; im</t>
  </si>
  <si>
    <t>Ppsv23 vacc 2 yrs+ subq/im</t>
  </si>
  <si>
    <t>Hepb vacc 2 dose adult im</t>
  </si>
  <si>
    <t>1 dose</t>
  </si>
  <si>
    <t>Hepb vacc 3 dose immunsup im</t>
  </si>
  <si>
    <t>40 MCG</t>
  </si>
  <si>
    <t>Hepb vacc 3 dose ped/adol im</t>
  </si>
  <si>
    <t>1 DOSE</t>
  </si>
  <si>
    <t>Hepb vaccine 3 dose adult im</t>
  </si>
  <si>
    <t>20 MCG</t>
  </si>
  <si>
    <t>Hepb vacc 4 dose immunsup im</t>
  </si>
  <si>
    <t>Cciiv4 vacc abx free im</t>
  </si>
  <si>
    <t>A9576</t>
  </si>
  <si>
    <t>Inj prohance multipack</t>
  </si>
  <si>
    <t>A9577</t>
  </si>
  <si>
    <t>Inj multihance</t>
  </si>
  <si>
    <t>A9578</t>
  </si>
  <si>
    <t>Inj multihance multipack</t>
  </si>
  <si>
    <t>A9579</t>
  </si>
  <si>
    <t>Gad-base mr contrast nos,1ml</t>
  </si>
  <si>
    <t>A9581</t>
  </si>
  <si>
    <t>Gadoxetate disodium inj</t>
  </si>
  <si>
    <t>A9585</t>
  </si>
  <si>
    <t>Gadobutrol injection</t>
  </si>
  <si>
    <t>0.1 ML</t>
  </si>
  <si>
    <t>A9589</t>
  </si>
  <si>
    <t>Insti hexaminolevulinate hcl</t>
  </si>
  <si>
    <t>100 MG</t>
  </si>
  <si>
    <t>A9606</t>
  </si>
  <si>
    <t>Radium ra223 dichloride ther</t>
  </si>
  <si>
    <t>1 microCurie</t>
  </si>
  <si>
    <t>J0129</t>
  </si>
  <si>
    <t>Abatacept injection</t>
  </si>
  <si>
    <t>J0130</t>
  </si>
  <si>
    <t>Abciximab injection</t>
  </si>
  <si>
    <t>J0132</t>
  </si>
  <si>
    <t>Acetylcysteine injection</t>
  </si>
  <si>
    <t>J0133</t>
  </si>
  <si>
    <t>Acyclovir injection</t>
  </si>
  <si>
    <t>J0153</t>
  </si>
  <si>
    <t>Adenosine inj 1mg</t>
  </si>
  <si>
    <t>J0171</t>
  </si>
  <si>
    <t>Adrenalin epinephrine inject</t>
  </si>
  <si>
    <t>0.1 MG</t>
  </si>
  <si>
    <t>J0178</t>
  </si>
  <si>
    <t>Aflibercept injection</t>
  </si>
  <si>
    <t>J0180</t>
  </si>
  <si>
    <t>Agalsidase beta injection</t>
  </si>
  <si>
    <t>J0185</t>
  </si>
  <si>
    <t>Inj., aprepitant, 1 mg</t>
  </si>
  <si>
    <t>J0202</t>
  </si>
  <si>
    <t>Injection, alemtuzumab</t>
  </si>
  <si>
    <t>J0207</t>
  </si>
  <si>
    <t>Amifostine</t>
  </si>
  <si>
    <t>500 MG</t>
  </si>
  <si>
    <t>J0221</t>
  </si>
  <si>
    <t>Lumizyme injection</t>
  </si>
  <si>
    <t>J0256</t>
  </si>
  <si>
    <t>Alpha 1 proteinase inhibitor</t>
  </si>
  <si>
    <t>J0257</t>
  </si>
  <si>
    <t>Glassia injection</t>
  </si>
  <si>
    <t>J0278</t>
  </si>
  <si>
    <t>Amikacin sulfate injection</t>
  </si>
  <si>
    <t>J0280</t>
  </si>
  <si>
    <t>Aminophyllin 250 mg inj</t>
  </si>
  <si>
    <t>250 MG</t>
  </si>
  <si>
    <t>J0285</t>
  </si>
  <si>
    <t>Amphotericin b</t>
  </si>
  <si>
    <t>J0287</t>
  </si>
  <si>
    <t>Amphotericin b lipid complex</t>
  </si>
  <si>
    <t>J0289</t>
  </si>
  <si>
    <t>Amphotericin b liposome inj</t>
  </si>
  <si>
    <t>J0290</t>
  </si>
  <si>
    <t>Ampicillin 500 mg inj</t>
  </si>
  <si>
    <t>J0295</t>
  </si>
  <si>
    <t>Ampicillin sulbactam 1.5 gm</t>
  </si>
  <si>
    <t>1.5 GM</t>
  </si>
  <si>
    <t>J0348</t>
  </si>
  <si>
    <t>Anidulafungin injection</t>
  </si>
  <si>
    <t>J0360</t>
  </si>
  <si>
    <t>Hydralazine hcl injection</t>
  </si>
  <si>
    <t>20 MG</t>
  </si>
  <si>
    <t>J0401</t>
  </si>
  <si>
    <t>Inj aripiprazole ext rel 1mg</t>
  </si>
  <si>
    <t>J0456</t>
  </si>
  <si>
    <t>Azithromycin</t>
  </si>
  <si>
    <t>J0461</t>
  </si>
  <si>
    <t>Atropine sulfate injection</t>
  </si>
  <si>
    <t>0.01 MG</t>
  </si>
  <si>
    <t>J0470</t>
  </si>
  <si>
    <t>Dimecaprol injection</t>
  </si>
  <si>
    <t>J0475</t>
  </si>
  <si>
    <t>Baclofen 10 mg injection</t>
  </si>
  <si>
    <t>J0476</t>
  </si>
  <si>
    <t>Baclofen intrathecal trial</t>
  </si>
  <si>
    <t>50 MCG</t>
  </si>
  <si>
    <t>J0480</t>
  </si>
  <si>
    <t>Basiliximab</t>
  </si>
  <si>
    <t>J0485</t>
  </si>
  <si>
    <t>Belatacept injection</t>
  </si>
  <si>
    <t>J0490</t>
  </si>
  <si>
    <t>Belimumab injection</t>
  </si>
  <si>
    <t>J0500</t>
  </si>
  <si>
    <t>Dicyclomine injection</t>
  </si>
  <si>
    <t>J0515</t>
  </si>
  <si>
    <t>Inj benztropine mesylate</t>
  </si>
  <si>
    <t>J0517</t>
  </si>
  <si>
    <t>Inj., benralizumab, 1 mg</t>
  </si>
  <si>
    <t>J0558</t>
  </si>
  <si>
    <t>Peng benzathine/procaine inj</t>
  </si>
  <si>
    <t>100,000 UNITS</t>
  </si>
  <si>
    <t>J0561</t>
  </si>
  <si>
    <t>Penicillin g benzathine inj</t>
  </si>
  <si>
    <t>J0565</t>
  </si>
  <si>
    <t>Inj, bezlotoxumab, 10 mg</t>
  </si>
  <si>
    <t>J0570</t>
  </si>
  <si>
    <t>Buprenorphine implant 74.2mg</t>
  </si>
  <si>
    <t>74.2 MG</t>
  </si>
  <si>
    <t>J0583</t>
  </si>
  <si>
    <t>Bivalirudin</t>
  </si>
  <si>
    <t>J0584</t>
  </si>
  <si>
    <t>Injection, burosumab-twza 1m</t>
  </si>
  <si>
    <t>J0585</t>
  </si>
  <si>
    <t>Injection,onabotulinumtoxina</t>
  </si>
  <si>
    <t>1 UNIT</t>
  </si>
  <si>
    <t>J0586</t>
  </si>
  <si>
    <t>Abobotulinumtoxina</t>
  </si>
  <si>
    <t>5 Unit</t>
  </si>
  <si>
    <t>J0587</t>
  </si>
  <si>
    <t>Inj, rimabotulinumtoxinb</t>
  </si>
  <si>
    <t>100 UNITS</t>
  </si>
  <si>
    <t>J0588</t>
  </si>
  <si>
    <t>Incobotulinumtoxin a</t>
  </si>
  <si>
    <t>J0592</t>
  </si>
  <si>
    <t>Buprenorphine hydrochloride</t>
  </si>
  <si>
    <t>J0594</t>
  </si>
  <si>
    <t>Busulfan injection</t>
  </si>
  <si>
    <t>J0595</t>
  </si>
  <si>
    <t>Butorphanol tartrate 1 mg</t>
  </si>
  <si>
    <t>J0596</t>
  </si>
  <si>
    <t>Injection, ruconest</t>
  </si>
  <si>
    <t>10 UNITS</t>
  </si>
  <si>
    <t>J0597</t>
  </si>
  <si>
    <t>C-1 esterase, berinert</t>
  </si>
  <si>
    <t>J0598</t>
  </si>
  <si>
    <t>C-1 esterase, cinryze</t>
  </si>
  <si>
    <t>J0600</t>
  </si>
  <si>
    <t>Edetate calcium disodium inj</t>
  </si>
  <si>
    <t>1000 MG</t>
  </si>
  <si>
    <t>J0610</t>
  </si>
  <si>
    <t>Calcium gluconate injection</t>
  </si>
  <si>
    <t>10 ML</t>
  </si>
  <si>
    <t>J0630</t>
  </si>
  <si>
    <t>Calcitonin salmon injection</t>
  </si>
  <si>
    <t>400 UNITS</t>
  </si>
  <si>
    <t>J0636</t>
  </si>
  <si>
    <t>Inj calcitriol per 0.1 mcg</t>
  </si>
  <si>
    <t>0.1 MCG</t>
  </si>
  <si>
    <t>J0637</t>
  </si>
  <si>
    <t>Caspofungin acetate</t>
  </si>
  <si>
    <t>J0638</t>
  </si>
  <si>
    <t>Canakinumab injection</t>
  </si>
  <si>
    <t>J0640</t>
  </si>
  <si>
    <t>Leucovorin calcium injection</t>
  </si>
  <si>
    <t>J0641</t>
  </si>
  <si>
    <t>Levoleucovorin injection</t>
  </si>
  <si>
    <t>0.5 MG</t>
  </si>
  <si>
    <t>J0670</t>
  </si>
  <si>
    <t>Inj mepivacaine hcl/10 ml</t>
  </si>
  <si>
    <t>J0690</t>
  </si>
  <si>
    <t>Cefazolin sodium injection</t>
  </si>
  <si>
    <t>J0692</t>
  </si>
  <si>
    <t>Cefepime hcl for injection</t>
  </si>
  <si>
    <t>J0694</t>
  </si>
  <si>
    <t>Cefoxitin sodium injection</t>
  </si>
  <si>
    <t>1 GM</t>
  </si>
  <si>
    <t>J0695</t>
  </si>
  <si>
    <t>Inj ceftolozane tazobactam</t>
  </si>
  <si>
    <t>75mg (50mg cft/25mg taz)</t>
  </si>
  <si>
    <t>J0696</t>
  </si>
  <si>
    <t>Ceftriaxone sodium injection</t>
  </si>
  <si>
    <t>J0697</t>
  </si>
  <si>
    <t>Sterile cefuroxime injection</t>
  </si>
  <si>
    <t>750 MG</t>
  </si>
  <si>
    <t>J0698</t>
  </si>
  <si>
    <t>Cefotaxime sodium injection</t>
  </si>
  <si>
    <t>J0702</t>
  </si>
  <si>
    <t>Betamethasone acet&amp;sod phosp</t>
  </si>
  <si>
    <t>3 MG &amp; 3 MG</t>
  </si>
  <si>
    <t>J0712</t>
  </si>
  <si>
    <t>Ceftaroline fosamil inj</t>
  </si>
  <si>
    <t>J0713</t>
  </si>
  <si>
    <t>Inj ceftazidime per 500 mg</t>
  </si>
  <si>
    <t>J0714</t>
  </si>
  <si>
    <t>Ceftazidime and avibactam</t>
  </si>
  <si>
    <t>.625 GM</t>
  </si>
  <si>
    <t>J0717</t>
  </si>
  <si>
    <t>Certolizumab pegol inj 1mg</t>
  </si>
  <si>
    <t>J0720</t>
  </si>
  <si>
    <t>Chloramphenicol sodium injec</t>
  </si>
  <si>
    <t>J0725</t>
  </si>
  <si>
    <t>Chorionic gonadotropin/1000u</t>
  </si>
  <si>
    <t>1000 UNITS</t>
  </si>
  <si>
    <t>J0735</t>
  </si>
  <si>
    <t>Clonidine hydrochloride</t>
  </si>
  <si>
    <t>J0740</t>
  </si>
  <si>
    <t>Cidofovir injection</t>
  </si>
  <si>
    <t>375 MG</t>
  </si>
  <si>
    <t>J0743</t>
  </si>
  <si>
    <t>Cilastatin sodium injection</t>
  </si>
  <si>
    <t>J0744</t>
  </si>
  <si>
    <t>Ciprofloxacin iv</t>
  </si>
  <si>
    <t>200 MG</t>
  </si>
  <si>
    <t>J0770</t>
  </si>
  <si>
    <t>Colistimethate sodium inj</t>
  </si>
  <si>
    <t>150 MG</t>
  </si>
  <si>
    <t>J0775</t>
  </si>
  <si>
    <t>Collagenase, clost hist inj</t>
  </si>
  <si>
    <t>J0780</t>
  </si>
  <si>
    <t>Prochlorperazine injection</t>
  </si>
  <si>
    <t>J0795</t>
  </si>
  <si>
    <t>Corticorelin ovine triflutal</t>
  </si>
  <si>
    <t>1 MCG</t>
  </si>
  <si>
    <t>J0800</t>
  </si>
  <si>
    <t>Corticotropin injection</t>
  </si>
  <si>
    <t>40 UNITS</t>
  </si>
  <si>
    <t>J0834</t>
  </si>
  <si>
    <t>Inj., cosyntropin, 0.25 mg</t>
  </si>
  <si>
    <t>0.25 MG</t>
  </si>
  <si>
    <t>J0840</t>
  </si>
  <si>
    <t>Crotalidae poly immune fab</t>
  </si>
  <si>
    <t>UP TO 1 GM</t>
  </si>
  <si>
    <t>J0850</t>
  </si>
  <si>
    <t>Cytomegalovirus imm iv /vial</t>
  </si>
  <si>
    <t>PER VIAL</t>
  </si>
  <si>
    <t>J0875</t>
  </si>
  <si>
    <t>Injection, dalbavancin</t>
  </si>
  <si>
    <t>J0878</t>
  </si>
  <si>
    <t>Daptomycin injection</t>
  </si>
  <si>
    <t>J0881</t>
  </si>
  <si>
    <t>Darbepoetin alfa, non-esrd</t>
  </si>
  <si>
    <t>J0882</t>
  </si>
  <si>
    <t>Darbepoetin alfa, esrd use</t>
  </si>
  <si>
    <t>J0885</t>
  </si>
  <si>
    <t>Epoetin alfa, non-esrd</t>
  </si>
  <si>
    <t>J0887</t>
  </si>
  <si>
    <t>Epoetin beta esrd use</t>
  </si>
  <si>
    <t>J0888</t>
  </si>
  <si>
    <t>Epoetin beta non esrd</t>
  </si>
  <si>
    <t>J0894</t>
  </si>
  <si>
    <t>Decitabine injection</t>
  </si>
  <si>
    <t>J0895</t>
  </si>
  <si>
    <t>Deferoxamine mesylate inj</t>
  </si>
  <si>
    <t>J0897</t>
  </si>
  <si>
    <t>Denosumab injection</t>
  </si>
  <si>
    <t>J1000</t>
  </si>
  <si>
    <t>Depo-estradiol cypionate inj</t>
  </si>
  <si>
    <t>J1020</t>
  </si>
  <si>
    <t>Methylprednisolone 20 mg inj</t>
  </si>
  <si>
    <t>J1030</t>
  </si>
  <si>
    <t>Methylprednisolone 40 mg inj</t>
  </si>
  <si>
    <t>40 MG</t>
  </si>
  <si>
    <t>J1040</t>
  </si>
  <si>
    <t>Methylprednisolone 80 mg inj</t>
  </si>
  <si>
    <t>80 MG</t>
  </si>
  <si>
    <t>J1050</t>
  </si>
  <si>
    <t>Medroxyprogesterone acetate</t>
  </si>
  <si>
    <t>J1071</t>
  </si>
  <si>
    <t>Inj testosterone cypionate</t>
  </si>
  <si>
    <t>J1100</t>
  </si>
  <si>
    <t>Dexamethasone sodium phos</t>
  </si>
  <si>
    <t>J1110</t>
  </si>
  <si>
    <t>Inj dihydroergotamine mesylt</t>
  </si>
  <si>
    <t>J1120</t>
  </si>
  <si>
    <t>Acetazolamid sodium injectio</t>
  </si>
  <si>
    <t>J1160</t>
  </si>
  <si>
    <t>Digoxin injection</t>
  </si>
  <si>
    <t>J1162</t>
  </si>
  <si>
    <t>Digoxin immune fab (ovine)</t>
  </si>
  <si>
    <t>J1165</t>
  </si>
  <si>
    <t>Phenytoin sodium injection</t>
  </si>
  <si>
    <t>J1170</t>
  </si>
  <si>
    <t>Hydromorphone injection</t>
  </si>
  <si>
    <t>4 MG</t>
  </si>
  <si>
    <t>J1190</t>
  </si>
  <si>
    <t>Dexrazoxane hcl injection</t>
  </si>
  <si>
    <t>J1200</t>
  </si>
  <si>
    <t>Diphenhydramine hcl injectio</t>
  </si>
  <si>
    <t>J1205</t>
  </si>
  <si>
    <t>Chlorothiazide sodium inj</t>
  </si>
  <si>
    <t>J1212</t>
  </si>
  <si>
    <t>Dimethyl sulfoxide 50% 50 ml</t>
  </si>
  <si>
    <t>50 ML</t>
  </si>
  <si>
    <t>J1230</t>
  </si>
  <si>
    <t>Methadone injection</t>
  </si>
  <si>
    <t>J1240</t>
  </si>
  <si>
    <t>Dimenhydrinate injection</t>
  </si>
  <si>
    <t>J1245</t>
  </si>
  <si>
    <t>Dipyridamole injection</t>
  </si>
  <si>
    <t>J1250</t>
  </si>
  <si>
    <t>Inj dobutamine hcl/250 mg</t>
  </si>
  <si>
    <t>J1265</t>
  </si>
  <si>
    <t>Dopamine injection</t>
  </si>
  <si>
    <t>J1270</t>
  </si>
  <si>
    <t>Injection, doxercalciferol</t>
  </si>
  <si>
    <t>J1290</t>
  </si>
  <si>
    <t>Ecallantide injection</t>
  </si>
  <si>
    <t>J1300</t>
  </si>
  <si>
    <t>Eculizumab injection</t>
  </si>
  <si>
    <t>J1301</t>
  </si>
  <si>
    <t>Injection, edaravone, 1 mg</t>
  </si>
  <si>
    <t>J1322</t>
  </si>
  <si>
    <t>Elosulfase alfa, injection</t>
  </si>
  <si>
    <t>J1325</t>
  </si>
  <si>
    <t>Epoprostenol injection</t>
  </si>
  <si>
    <t>J1335</t>
  </si>
  <si>
    <t>Ertapenem injection</t>
  </si>
  <si>
    <t>J1364</t>
  </si>
  <si>
    <t>Erythro lactobionate /500 mg</t>
  </si>
  <si>
    <t>J1380</t>
  </si>
  <si>
    <t>Estradiol valerate 10 mg inj</t>
  </si>
  <si>
    <t>J1410</t>
  </si>
  <si>
    <t>Inj estrogen conjugate 25 mg</t>
  </si>
  <si>
    <t>25 MG</t>
  </si>
  <si>
    <t>J1430</t>
  </si>
  <si>
    <t>Ethanolamine oleate 100 mg</t>
  </si>
  <si>
    <t>J1439</t>
  </si>
  <si>
    <t>Inj ferric carboxymaltos 1mg</t>
  </si>
  <si>
    <t>J1442</t>
  </si>
  <si>
    <t>Inj filgrastim excl biosimil</t>
  </si>
  <si>
    <t>J1447</t>
  </si>
  <si>
    <t>Inj tbo filgrastim 1 microg</t>
  </si>
  <si>
    <t>J1450</t>
  </si>
  <si>
    <t>Fluconazole</t>
  </si>
  <si>
    <t>J1453</t>
  </si>
  <si>
    <t>Fosaprepitant injection</t>
  </si>
  <si>
    <t>J1454</t>
  </si>
  <si>
    <t>Inj fosnetupitant, palonoset</t>
  </si>
  <si>
    <t>J1458</t>
  </si>
  <si>
    <t>Galsulfase injection</t>
  </si>
  <si>
    <t>J1459</t>
  </si>
  <si>
    <t>Inj ivig privigen 500 mg</t>
  </si>
  <si>
    <t>J1460</t>
  </si>
  <si>
    <t>Gamma globulin 1 cc inj</t>
  </si>
  <si>
    <t>1 CC</t>
  </si>
  <si>
    <t>J1555</t>
  </si>
  <si>
    <t>Inj cuvitru, 100 mg</t>
  </si>
  <si>
    <t>J1556</t>
  </si>
  <si>
    <t>Inj, imm glob bivigam, 500mg</t>
  </si>
  <si>
    <t>J1557</t>
  </si>
  <si>
    <t>Gammaplex injection</t>
  </si>
  <si>
    <t>J1559</t>
  </si>
  <si>
    <t>Hizentra injection</t>
  </si>
  <si>
    <t>J1560</t>
  </si>
  <si>
    <t>Gamma globulin &gt; 10 cc inj</t>
  </si>
  <si>
    <t>10 CC</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</si>
  <si>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</si>
  <si>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</si>
  <si>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</si>
  <si>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</si>
  <si>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</si>
  <si>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</si>
  <si>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</si>
  <si>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</si>
  <si>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</si>
  <si>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</si>
  <si>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</si>
  <si>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</si>
  <si>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</si>
  <si>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</si>
  <si>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J1575</t>
  </si>
  <si>
    <t>Hyqvia 100mg immuneglobulin</t>
  </si>
  <si>
    <t>J1580</t>
  </si>
  <si>
    <t>Garamycin gentamicin inj</t>
  </si>
  <si>
    <t>J1602</t>
  </si>
  <si>
    <t>Golimumab for iv use 1mg</t>
  </si>
  <si>
    <t>J1610</t>
  </si>
  <si>
    <t>Glucagon hydrochloride/1 mg</t>
  </si>
  <si>
    <t>J1626</t>
  </si>
  <si>
    <t>Granisetron hcl injection</t>
  </si>
  <si>
    <t>100 MCG</t>
  </si>
  <si>
    <t>J1627</t>
  </si>
  <si>
    <t>Inj, granisetron, xr, 0.1 mg</t>
  </si>
  <si>
    <t>J1630</t>
  </si>
  <si>
    <t>Haloperidol injection</t>
  </si>
  <si>
    <t>J1631</t>
  </si>
  <si>
    <t>Haloperidol decanoate inj</t>
  </si>
  <si>
    <t>J1640</t>
  </si>
  <si>
    <t>Hemin, 1 mg</t>
  </si>
  <si>
    <t>J1642</t>
  </si>
  <si>
    <t>Inj heparin sodium per 10 u</t>
  </si>
  <si>
    <t>J1644</t>
  </si>
  <si>
    <t>Inj heparin sodium per 1000u</t>
  </si>
  <si>
    <t>J1645</t>
  </si>
  <si>
    <t>Dalteparin sodium</t>
  </si>
  <si>
    <t>2500 IU</t>
  </si>
  <si>
    <t>J1650</t>
  </si>
  <si>
    <t>Inj enoxaparin sodium</t>
  </si>
  <si>
    <t>J1652</t>
  </si>
  <si>
    <t>Fondaparinux sodium</t>
  </si>
  <si>
    <t>J1670</t>
  </si>
  <si>
    <t>Tetanus immune globulin inj</t>
  </si>
  <si>
    <t>250 UNITS</t>
  </si>
  <si>
    <t>J1720</t>
  </si>
  <si>
    <t>Hydrocortisone sodium succ i</t>
  </si>
  <si>
    <t>J1740</t>
  </si>
  <si>
    <t>Ibandronate sodium injection</t>
  </si>
  <si>
    <t>J1742</t>
  </si>
  <si>
    <t>Ibutilide fumarate injection</t>
  </si>
  <si>
    <t>J1743</t>
  </si>
  <si>
    <t>Idursulfase injection</t>
  </si>
  <si>
    <t>J1745</t>
  </si>
  <si>
    <t>Infliximab not biosimil 10mg</t>
  </si>
  <si>
    <t>J1750</t>
  </si>
  <si>
    <t>Inj iron dextran</t>
  </si>
  <si>
    <t>J1756</t>
  </si>
  <si>
    <t>Iron sucrose injection</t>
  </si>
  <si>
    <t>J1786</t>
  </si>
  <si>
    <t>Imuglucerase injection</t>
  </si>
  <si>
    <t>J1800</t>
  </si>
  <si>
    <t>Propranolol injection</t>
  </si>
  <si>
    <t>J1815</t>
  </si>
  <si>
    <t>Insulin injection</t>
  </si>
  <si>
    <t>5 UNITS</t>
  </si>
  <si>
    <t>J1817</t>
  </si>
  <si>
    <t>Insulin for insulin pump use</t>
  </si>
  <si>
    <t>50 UNITS</t>
  </si>
  <si>
    <t>J1885</t>
  </si>
  <si>
    <t>Ketorolac tromethamine inj</t>
  </si>
  <si>
    <t>15 MG</t>
  </si>
  <si>
    <t>J1930</t>
  </si>
  <si>
    <t>Lanreotide injection</t>
  </si>
  <si>
    <t>J1931</t>
  </si>
  <si>
    <t>Laronidase injection</t>
  </si>
  <si>
    <t>J1940</t>
  </si>
  <si>
    <t>Furosemide injection</t>
  </si>
  <si>
    <t>J1942</t>
  </si>
  <si>
    <t>Aripiprazole lauroxil 1mg</t>
  </si>
  <si>
    <t>J1950</t>
  </si>
  <si>
    <t>Leuprolide acetate /3.75 mg</t>
  </si>
  <si>
    <t>3.75 MG</t>
  </si>
  <si>
    <t>J1953</t>
  </si>
  <si>
    <t>Levetiracetam injection</t>
  </si>
  <si>
    <t>J1955</t>
  </si>
  <si>
    <t>Inj levocarnitine per 1 gm</t>
  </si>
  <si>
    <t>J1956</t>
  </si>
  <si>
    <t>Levofloxacin injection</t>
  </si>
  <si>
    <t>J1980</t>
  </si>
  <si>
    <t>Hyoscyamine sulfate inj</t>
  </si>
  <si>
    <t>J2001</t>
  </si>
  <si>
    <t>Lidocaine injection</t>
  </si>
  <si>
    <t>J2010</t>
  </si>
  <si>
    <t>Lincomycin injection</t>
  </si>
  <si>
    <t>300 MG</t>
  </si>
  <si>
    <t>J2020</t>
  </si>
  <si>
    <t>Linezolid injection</t>
  </si>
  <si>
    <t>J2060</t>
  </si>
  <si>
    <t>Lorazepam injection</t>
  </si>
  <si>
    <t>2 MG</t>
  </si>
  <si>
    <t>J2150</t>
  </si>
  <si>
    <t>Mannitol injection</t>
  </si>
  <si>
    <t>J2175</t>
  </si>
  <si>
    <t>Meperidine hydrochl /100 mg</t>
  </si>
  <si>
    <t>J2182</t>
  </si>
  <si>
    <t>Injection, mepolizumab, 1mg</t>
  </si>
  <si>
    <t>J2185</t>
  </si>
  <si>
    <t>Meropenem</t>
  </si>
  <si>
    <t>J2210</t>
  </si>
  <si>
    <t>Methylergonovin maleate inj</t>
  </si>
  <si>
    <t>0.2 MG</t>
  </si>
  <si>
    <t>J2248</t>
  </si>
  <si>
    <t>Micafungin sodium injection</t>
  </si>
  <si>
    <t>J2250</t>
  </si>
  <si>
    <t>Inj midazolam hydrochloride</t>
  </si>
  <si>
    <t>J2260</t>
  </si>
  <si>
    <t>Inj milrinone lactate / 5 mg</t>
  </si>
  <si>
    <t>J2270</t>
  </si>
  <si>
    <t>Morphine sulfate injection</t>
  </si>
  <si>
    <t>J2274</t>
  </si>
  <si>
    <t>Inj morphine pf epid ithc</t>
  </si>
  <si>
    <t>J2278</t>
  </si>
  <si>
    <t>Ziconotide injection</t>
  </si>
  <si>
    <t>J2280</t>
  </si>
  <si>
    <t>Inj, moxifloxacin 100 mg</t>
  </si>
  <si>
    <t>J2300</t>
  </si>
  <si>
    <t>Inj nalbuphine hydrochloride</t>
  </si>
  <si>
    <t>J2310</t>
  </si>
  <si>
    <t>Inj naloxone hydrochloride</t>
  </si>
  <si>
    <t>J2315</t>
  </si>
  <si>
    <t>Naltrexone, depot form</t>
  </si>
  <si>
    <t>J2323</t>
  </si>
  <si>
    <t>Natalizumab injection</t>
  </si>
  <si>
    <t>J2350</t>
  </si>
  <si>
    <t>Injection, ocrelizumab, 1 mg</t>
  </si>
  <si>
    <t>J2353</t>
  </si>
  <si>
    <t>Octreotide injection, depot</t>
  </si>
  <si>
    <t>J2354</t>
  </si>
  <si>
    <t>Octreotide inj, non-depot</t>
  </si>
  <si>
    <t>25 MCG</t>
  </si>
  <si>
    <t>J2357</t>
  </si>
  <si>
    <t>Omalizumab injection</t>
  </si>
  <si>
    <t>J2358</t>
  </si>
  <si>
    <t>Olanzapine long-acting inj</t>
  </si>
  <si>
    <t>J2360</t>
  </si>
  <si>
    <t>Orphenadrine injection</t>
  </si>
  <si>
    <t>60 MG</t>
  </si>
  <si>
    <t>J2400</t>
  </si>
  <si>
    <t>Chloroprocaine hcl injection</t>
  </si>
  <si>
    <t>30 ML</t>
  </si>
  <si>
    <t>J2405</t>
  </si>
  <si>
    <t>Ondansetron hcl injection</t>
  </si>
  <si>
    <t>J2407</t>
  </si>
  <si>
    <t>Injection, oritavancin</t>
  </si>
  <si>
    <t>J2425</t>
  </si>
  <si>
    <t>Palifermin injection</t>
  </si>
  <si>
    <t>J2426</t>
  </si>
  <si>
    <t>Paliperidone palmitate inj</t>
  </si>
  <si>
    <t>J2430</t>
  </si>
  <si>
    <t>Pamidronate disodium /30 mg</t>
  </si>
  <si>
    <t>30 MG</t>
  </si>
  <si>
    <t>J2469</t>
  </si>
  <si>
    <t>Palonosetron hcl</t>
  </si>
  <si>
    <t>J2501</t>
  </si>
  <si>
    <t>Paricalcitol</t>
  </si>
  <si>
    <t>J2503</t>
  </si>
  <si>
    <t>Pegaptanib sodium injection</t>
  </si>
  <si>
    <t>0.3 MG</t>
  </si>
  <si>
    <t>J2504</t>
  </si>
  <si>
    <t>Pegademase bovine, 25 iu</t>
  </si>
  <si>
    <t>25 IU</t>
  </si>
  <si>
    <t>J2505</t>
  </si>
  <si>
    <t>Injection, pegfilgrastim 6mg</t>
  </si>
  <si>
    <t>6 MG</t>
  </si>
  <si>
    <t>J2507</t>
  </si>
  <si>
    <t>Pegloticase injection</t>
  </si>
  <si>
    <t>J2510</t>
  </si>
  <si>
    <t>Penicillin g procaine inj</t>
  </si>
  <si>
    <t>600000 UNITS</t>
  </si>
  <si>
    <t>J2515</t>
  </si>
  <si>
    <t>Pentobarbital sodium inj</t>
  </si>
  <si>
    <t>J2540</t>
  </si>
  <si>
    <t>Penicillin g potassium inj</t>
  </si>
  <si>
    <t>J2543</t>
  </si>
  <si>
    <t>Piperacillin/tazobactam</t>
  </si>
  <si>
    <t>1.125 GM</t>
  </si>
  <si>
    <t>J2545</t>
  </si>
  <si>
    <t>Pentamidine non-comp unit</t>
  </si>
  <si>
    <t>J2550</t>
  </si>
  <si>
    <t>Promethazine hcl injection</t>
  </si>
  <si>
    <t>J2560</t>
  </si>
  <si>
    <t>Phenobarbital sodium inj</t>
  </si>
  <si>
    <t>120 MG</t>
  </si>
  <si>
    <t>J2562</t>
  </si>
  <si>
    <t>Plerixafor injection</t>
  </si>
  <si>
    <t>J2597</t>
  </si>
  <si>
    <t>Inj desmopressin acetate</t>
  </si>
  <si>
    <t>J2675</t>
  </si>
  <si>
    <t>Inj progesterone per 50 mg</t>
  </si>
  <si>
    <t>J2680</t>
  </si>
  <si>
    <t>Fluphenazine decanoate 25 mg</t>
  </si>
  <si>
    <t>J2690</t>
  </si>
  <si>
    <t>Procainamide hcl injection</t>
  </si>
  <si>
    <t>J2700</t>
  </si>
  <si>
    <t>Oxacillin sodium injeciton</t>
  </si>
  <si>
    <t>J2704</t>
  </si>
  <si>
    <t>Inj, propofol, 10 mg</t>
  </si>
  <si>
    <t>J2720</t>
  </si>
  <si>
    <t>Inj protamine sulfate/10 mg</t>
  </si>
  <si>
    <t>J2724</t>
  </si>
  <si>
    <t>Protein c concentrate</t>
  </si>
  <si>
    <t>J2760</t>
  </si>
  <si>
    <t>Phentolaine mesylate inj</t>
  </si>
  <si>
    <t>J2765</t>
  </si>
  <si>
    <t>Metoclopramide hcl injection</t>
  </si>
  <si>
    <t>J2770</t>
  </si>
  <si>
    <t>Quinupristin/dalfopristin</t>
  </si>
  <si>
    <t>J2778</t>
  </si>
  <si>
    <t>Ranibizumab injection</t>
  </si>
  <si>
    <t>0.1 mg</t>
  </si>
  <si>
    <t>J2780</t>
  </si>
  <si>
    <t>Ranitidine hydrochloride inj</t>
  </si>
  <si>
    <t>J2783</t>
  </si>
  <si>
    <t>Rasburicase</t>
  </si>
  <si>
    <t>J2785</t>
  </si>
  <si>
    <t>Regadenoson injection</t>
  </si>
  <si>
    <t>J2786</t>
  </si>
  <si>
    <t>Injection, reslizumab, 1mg</t>
  </si>
  <si>
    <t>J2788</t>
  </si>
  <si>
    <t>Rho d immune globulin 50 mcg</t>
  </si>
  <si>
    <t>50 MCG (250 IU)</t>
  </si>
  <si>
    <t>J2790</t>
  </si>
  <si>
    <t>Rho d immune globulin inj</t>
  </si>
  <si>
    <t>300 MCG (1500 IU)</t>
  </si>
  <si>
    <t>J2791</t>
  </si>
  <si>
    <t>Rhophylac injection</t>
  </si>
  <si>
    <t>100 IU</t>
  </si>
  <si>
    <t>J2792</t>
  </si>
  <si>
    <t>Rho(d) immune globulin h, sd</t>
  </si>
  <si>
    <t>J2794</t>
  </si>
  <si>
    <t>Risperidone, long acting</t>
  </si>
  <si>
    <t>J2795</t>
  </si>
  <si>
    <t>Ropivacaine hcl injection</t>
  </si>
  <si>
    <t>J2796</t>
  </si>
  <si>
    <t>Romiplostim injection</t>
  </si>
  <si>
    <t>10 MCG</t>
  </si>
  <si>
    <t>J2800</t>
  </si>
  <si>
    <t>Methocarbamol injection</t>
  </si>
  <si>
    <t>J2805</t>
  </si>
  <si>
    <t>Sincalide injection</t>
  </si>
  <si>
    <t>5 MCG</t>
  </si>
  <si>
    <t>J2810</t>
  </si>
  <si>
    <t>Inj theophylline per 40 mg</t>
  </si>
  <si>
    <t>J2820</t>
  </si>
  <si>
    <t>Sargramostim injection</t>
  </si>
  <si>
    <t>J2860</t>
  </si>
  <si>
    <t>Injection, siltuximab</t>
  </si>
  <si>
    <t>J2916</t>
  </si>
  <si>
    <t>Na ferric gluconate complex</t>
  </si>
  <si>
    <t>12.5 MG</t>
  </si>
  <si>
    <t>J2920</t>
  </si>
  <si>
    <t>Methylprednisolone injection</t>
  </si>
  <si>
    <t>J2930</t>
  </si>
  <si>
    <t>125 MG</t>
  </si>
  <si>
    <t>J2997</t>
  </si>
  <si>
    <t>Alteplase recombinant</t>
  </si>
  <si>
    <t>J3000</t>
  </si>
  <si>
    <t>Streptomycin injection</t>
  </si>
  <si>
    <t>J3010</t>
  </si>
  <si>
    <t>Fentanyl citrate injection</t>
  </si>
  <si>
    <t>J3060</t>
  </si>
  <si>
    <t>Inj, taliglucerase alfa 10 u</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</si>
  <si>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</si>
  <si>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</si>
  <si>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</si>
  <si>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</si>
  <si>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</si>
  <si>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</si>
  <si>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</si>
  <si>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</si>
  <si>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</si>
  <si>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</si>
  <si>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</si>
  <si>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</si>
  <si>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</si>
  <si>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</si>
  <si>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</si>
  <si>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</si>
  <si>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</si>
  <si>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</si>
  <si>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0.9 MG</t>
  </si>
  <si>
    <t>J3243</t>
  </si>
  <si>
    <t>Tigecycline injection</t>
  </si>
  <si>
    <t>J3245</t>
  </si>
  <si>
    <t>Inj., tildrakizumab, 1 mg</t>
  </si>
  <si>
    <t>J3250</t>
  </si>
  <si>
    <t>Trimethobenzamide hcl inj</t>
  </si>
  <si>
    <t>J3260</t>
  </si>
  <si>
    <t>Tobramycin sulfate injection</t>
  </si>
  <si>
    <t>J3262</t>
  </si>
  <si>
    <t>Tocilizumab injection</t>
  </si>
  <si>
    <t>J3285</t>
  </si>
  <si>
    <t>Treprostinil injection</t>
  </si>
  <si>
    <t>J3300</t>
  </si>
  <si>
    <t>Triamcinolone a inj prs-free</t>
  </si>
  <si>
    <t>J3301</t>
  </si>
  <si>
    <t>Triamcinolone acet inj nos</t>
  </si>
  <si>
    <t>J3304</t>
  </si>
  <si>
    <t>Inj triamcinolone ace xr 1mg</t>
  </si>
  <si>
    <t>J3315</t>
  </si>
  <si>
    <t>Triptorelin pamoate</t>
  </si>
  <si>
    <t>J3357</t>
  </si>
  <si>
    <t>Ustekinumab sub cu inj, 1 mg</t>
  </si>
  <si>
    <t>J3358</t>
  </si>
  <si>
    <t>Ustekinumab, iv inject, 1 mg</t>
  </si>
  <si>
    <t>J3360</t>
  </si>
  <si>
    <t>Diazepam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</si>
  <si>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</si>
  <si>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</si>
  <si>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</si>
  <si>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</si>
  <si>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</si>
  <si>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</si>
  <si>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</si>
  <si>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</si>
  <si>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</si>
  <si>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</si>
  <si>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</si>
  <si>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</si>
  <si>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</si>
  <si>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</si>
  <si>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</si>
  <si>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</si>
  <si>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1000 MCG</t>
  </si>
  <si>
    <t>J3430</t>
  </si>
  <si>
    <t>Vitamin k phytonadione inj</t>
  </si>
  <si>
    <t>J3465</t>
  </si>
  <si>
    <t>Injection, voriconazole</t>
  </si>
  <si>
    <t>J3471</t>
  </si>
  <si>
    <t>Ovine, up to 999 usp units</t>
  </si>
  <si>
    <t>J3473</t>
  </si>
  <si>
    <t>Hyaluronidase recombinant</t>
  </si>
  <si>
    <t>1 USP UNIT</t>
  </si>
  <si>
    <t>J3475</t>
  </si>
  <si>
    <t>Inj magnesium sulfate</t>
  </si>
  <si>
    <t>J3480</t>
  </si>
  <si>
    <t>Inj potassium chloride</t>
  </si>
  <si>
    <t>2 MEQ</t>
  </si>
  <si>
    <t>J3485</t>
  </si>
  <si>
    <t>Zidovudine</t>
  </si>
  <si>
    <t>J3486</t>
  </si>
  <si>
    <t>Ziprasidone mesylate</t>
  </si>
  <si>
    <t>J3489</t>
  </si>
  <si>
    <t>Zoledronic acid 1mg</t>
  </si>
  <si>
    <t>J7030</t>
  </si>
  <si>
    <t>Normal saline solution infus</t>
  </si>
  <si>
    <t>1000 ML</t>
  </si>
  <si>
    <t>J7040</t>
  </si>
  <si>
    <t>500 ML</t>
  </si>
  <si>
    <t>J7042</t>
  </si>
  <si>
    <t>5% dextrose/normal saline</t>
  </si>
  <si>
    <t>J7050</t>
  </si>
  <si>
    <t>250 ML</t>
  </si>
  <si>
    <t>J7060</t>
  </si>
  <si>
    <t>5% dextrose/water</t>
  </si>
  <si>
    <t>J7070</t>
  </si>
  <si>
    <t>D5w infusion</t>
  </si>
  <si>
    <t>1000 CC</t>
  </si>
  <si>
    <t>J7120</t>
  </si>
  <si>
    <t>Ringers lactate infusion</t>
  </si>
  <si>
    <t>J7170</t>
  </si>
  <si>
    <t>Inj., emicizumab-kxwh 0.5 mg</t>
  </si>
  <si>
    <t>J7175</t>
  </si>
  <si>
    <t>Inj, factor x, (human), 1iu</t>
  </si>
  <si>
    <t>1 IU</t>
  </si>
  <si>
    <t>J7178</t>
  </si>
  <si>
    <t>Inj human fibrinogen con nos</t>
  </si>
  <si>
    <t>J7179</t>
  </si>
  <si>
    <t>Vonvendi inj 1 iu vwf:rco</t>
  </si>
  <si>
    <t>J7180</t>
  </si>
  <si>
    <t>Factor xiii anti-hem factor</t>
  </si>
  <si>
    <t>J7181</t>
  </si>
  <si>
    <t>Factor xiii recomb a-subunit</t>
  </si>
  <si>
    <t>J7182</t>
  </si>
  <si>
    <t>Factor viii recomb novoeight</t>
  </si>
  <si>
    <t>J7183</t>
  </si>
  <si>
    <t>Wilate injection</t>
  </si>
  <si>
    <t>1 I.U. VWF:RCO</t>
  </si>
  <si>
    <t>J7185</t>
  </si>
  <si>
    <t>Xyntha inj</t>
  </si>
  <si>
    <t>J7186</t>
  </si>
  <si>
    <t>Antihemophilic viii/vwf comp</t>
  </si>
  <si>
    <t>PER FACTOR VIII IU</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</si>
  <si>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</si>
  <si>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</si>
  <si>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</si>
  <si>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</si>
  <si>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</si>
  <si>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</si>
  <si>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</si>
  <si>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</si>
  <si>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</si>
  <si>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</si>
  <si>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</si>
  <si>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</si>
  <si>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</si>
  <si>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</si>
  <si>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</si>
  <si>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</si>
  <si>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</si>
  <si>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</si>
  <si>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</si>
  <si>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</si>
  <si>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</si>
  <si>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</si>
  <si>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</si>
  <si>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</si>
  <si>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</si>
  <si>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</si>
  <si>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</si>
  <si>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</si>
  <si>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</si>
  <si>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</si>
  <si>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J7208</t>
  </si>
  <si>
    <t>Inj. Jivi 1 iu</t>
  </si>
  <si>
    <t>J7209</t>
  </si>
  <si>
    <t>Factor viii nuwiq recomb 1iu</t>
  </si>
  <si>
    <t>J7210</t>
  </si>
  <si>
    <t xml:space="preserve">Inj, afstyla, 1 i.u.        </t>
  </si>
  <si>
    <t>J7211</t>
  </si>
  <si>
    <t>Inj, kovaltry, 1 i.u.</t>
  </si>
  <si>
    <t>J7308</t>
  </si>
  <si>
    <t>Aminolevulinic acid hcl top</t>
  </si>
  <si>
    <t>354 MG</t>
  </si>
  <si>
    <t>J7311</t>
  </si>
  <si>
    <t>Fluocinolone acetonide implt</t>
  </si>
  <si>
    <t>0.59 MG</t>
  </si>
  <si>
    <t>J7312</t>
  </si>
  <si>
    <t>Dexamethasone intra implant</t>
  </si>
  <si>
    <t>J7313</t>
  </si>
  <si>
    <t>Fluocinol acet intravit imp</t>
  </si>
  <si>
    <t>J7316</t>
  </si>
  <si>
    <t>Inj, ocriplasmin, 0.125 mg</t>
  </si>
  <si>
    <t>0.125 MG</t>
  </si>
  <si>
    <t>J7321</t>
  </si>
  <si>
    <t>Hyalgan supartz visco-3 dose</t>
  </si>
  <si>
    <t>per dose</t>
  </si>
  <si>
    <t>J7323</t>
  </si>
  <si>
    <t>Euflexxa inj per dose</t>
  </si>
  <si>
    <t>J7325</t>
  </si>
  <si>
    <t>Synvisc or synvisc-one</t>
  </si>
  <si>
    <t>J7336</t>
  </si>
  <si>
    <t>Capsaicin 8% patch</t>
  </si>
  <si>
    <t>1 SQ CM</t>
  </si>
  <si>
    <t>J7340</t>
  </si>
  <si>
    <t>Carbidopa levodopa ent 100ml</t>
  </si>
  <si>
    <t>100 ML</t>
  </si>
  <si>
    <t>J7345</t>
  </si>
  <si>
    <t>Aminolevulinic acid, 10% gel</t>
  </si>
  <si>
    <t>J7500</t>
  </si>
  <si>
    <t>Azathioprine oral 50mg</t>
  </si>
  <si>
    <t>J7502</t>
  </si>
  <si>
    <t>Cyclosporine oral 100 mg</t>
  </si>
  <si>
    <t>J7503</t>
  </si>
  <si>
    <t>Tacrol envarsus ex rel oral</t>
  </si>
  <si>
    <t>J7504</t>
  </si>
  <si>
    <t>Lymphocyte immune globulin</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</si>
  <si>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</si>
  <si>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</si>
  <si>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</si>
  <si>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</si>
  <si>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</si>
  <si>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</si>
  <si>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</si>
  <si>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</si>
  <si>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</si>
  <si>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</si>
  <si>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</si>
  <si>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</si>
  <si>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</si>
  <si>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</si>
  <si>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</si>
  <si>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</si>
  <si>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</si>
  <si>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</si>
  <si>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</si>
  <si>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</si>
  <si>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180 MG</t>
  </si>
  <si>
    <t>J7520</t>
  </si>
  <si>
    <t>Sirolimus, oral</t>
  </si>
  <si>
    <t>J7525</t>
  </si>
  <si>
    <t>Tacrolimus injection</t>
  </si>
  <si>
    <t>J7527</t>
  </si>
  <si>
    <t>Oral everolimus</t>
  </si>
  <si>
    <t>J7605</t>
  </si>
  <si>
    <t>Arformoterol non-comp unit</t>
  </si>
  <si>
    <t>15 mcg</t>
  </si>
  <si>
    <t>J7606</t>
  </si>
  <si>
    <t>Formoterol fumarate, inh</t>
  </si>
  <si>
    <t>J7608</t>
  </si>
  <si>
    <t>Acetylcysteine non-comp unit</t>
  </si>
  <si>
    <t>J7611</t>
  </si>
  <si>
    <t>Albuterol non-comp con</t>
  </si>
  <si>
    <t>J7612</t>
  </si>
  <si>
    <t>Levalbuterol non-comp con</t>
  </si>
  <si>
    <t>J7613</t>
  </si>
  <si>
    <t>Albuterol non-comp unit</t>
  </si>
  <si>
    <t>J7614</t>
  </si>
  <si>
    <t>Levalbuterol non-comp unit</t>
  </si>
  <si>
    <t>J7620</t>
  </si>
  <si>
    <t>Albuterol ipratrop non-comp</t>
  </si>
  <si>
    <t>2.5 MG/0.5 MG</t>
  </si>
  <si>
    <t>J7626</t>
  </si>
  <si>
    <t>Budesonide non-comp unit</t>
  </si>
  <si>
    <t>J7631</t>
  </si>
  <si>
    <t>Cromolyn sodium noncomp unit</t>
  </si>
  <si>
    <t>J7639</t>
  </si>
  <si>
    <t>Dornase alfa non-comp unit</t>
  </si>
  <si>
    <t>J7644</t>
  </si>
  <si>
    <t>Ipratropium bromide non-comp</t>
  </si>
  <si>
    <t>J7674</t>
  </si>
  <si>
    <t>Methacholine chloride, neb</t>
  </si>
  <si>
    <t>J7682</t>
  </si>
  <si>
    <t>Tobramycin non-comp unit</t>
  </si>
  <si>
    <t>J7686</t>
  </si>
  <si>
    <t>Treprostinil, non-comp unit</t>
  </si>
  <si>
    <t xml:space="preserve"> 1.74 MG</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</si>
  <si>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</si>
  <si>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</si>
  <si>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</si>
  <si>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</si>
  <si>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</si>
  <si>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</si>
  <si>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</si>
  <si>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</si>
  <si>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</si>
  <si>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</si>
  <si>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</si>
  <si>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</si>
  <si>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</si>
  <si>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</si>
  <si>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J8600</t>
  </si>
  <si>
    <t>Melphalan oral 2 mg</t>
  </si>
  <si>
    <t>J8610</t>
  </si>
  <si>
    <t>Methotrexate oral 2.5 mg</t>
  </si>
  <si>
    <t>2.5 MG</t>
  </si>
  <si>
    <t>J8655</t>
  </si>
  <si>
    <t>Oral netupitant, palonosetro</t>
  </si>
  <si>
    <t>J8670</t>
  </si>
  <si>
    <t>Rolapitant, oral, 1mg</t>
  </si>
  <si>
    <t>J8700</t>
  </si>
  <si>
    <t>Temozolomide</t>
  </si>
  <si>
    <t>J8705</t>
  </si>
  <si>
    <t>Topotecan oral</t>
  </si>
  <si>
    <t>0.25 mg</t>
  </si>
  <si>
    <t>J9000</t>
  </si>
  <si>
    <t>Doxorubicin hcl injection</t>
  </si>
  <si>
    <t>J9017</t>
  </si>
  <si>
    <t>Arsenic trioxide injection</t>
  </si>
  <si>
    <t>J9019</t>
  </si>
  <si>
    <t>Erwinaze injection</t>
  </si>
  <si>
    <t>1,000 IU</t>
  </si>
  <si>
    <t>J9022</t>
  </si>
  <si>
    <t>Inj, atezolizumab,10 mg</t>
  </si>
  <si>
    <t>J9023</t>
  </si>
  <si>
    <t>Injection, avelumab, 10 mg</t>
  </si>
  <si>
    <t>J9025</t>
  </si>
  <si>
    <t>Azacitidine injection</t>
  </si>
  <si>
    <t>J9027</t>
  </si>
  <si>
    <t>Clofarabine injection</t>
  </si>
  <si>
    <t>J9030</t>
  </si>
  <si>
    <t>Bcg live intravesical 1mg</t>
  </si>
  <si>
    <t>J9032</t>
  </si>
  <si>
    <t>Injection, belinostat, 10mg</t>
  </si>
  <si>
    <t>J9033</t>
  </si>
  <si>
    <t>Inj., treanda 1 mg</t>
  </si>
  <si>
    <t>J9034</t>
  </si>
  <si>
    <t>Inj., bendeka 1 mg</t>
  </si>
  <si>
    <t>J9035</t>
  </si>
  <si>
    <t>Bevacizumab injection</t>
  </si>
  <si>
    <t>J9036</t>
  </si>
  <si>
    <t>Inj. belrapzo/bendamustine</t>
  </si>
  <si>
    <t>J9039</t>
  </si>
  <si>
    <t>Injection, blinatumomab</t>
  </si>
  <si>
    <t>J9040</t>
  </si>
  <si>
    <t>Bleomycin sulfate injection</t>
  </si>
  <si>
    <t>15 UNITS</t>
  </si>
  <si>
    <t>J9041</t>
  </si>
  <si>
    <t>Inj., velcade 0.1 mg</t>
  </si>
  <si>
    <t>J9042</t>
  </si>
  <si>
    <t>Brentuximab vedotin inj</t>
  </si>
  <si>
    <t>J9043</t>
  </si>
  <si>
    <t>Cabazitaxel injection</t>
  </si>
  <si>
    <t>J9044</t>
  </si>
  <si>
    <t>Inj, bortezomib, nos, 0.1 mg</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</si>
  <si>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</si>
  <si>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</si>
  <si>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</si>
  <si>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</si>
  <si>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</si>
  <si>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</si>
  <si>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</si>
  <si>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</si>
  <si>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</si>
  <si>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</si>
  <si>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</si>
  <si>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</si>
  <si>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</si>
  <si>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</si>
  <si>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J9100</t>
  </si>
  <si>
    <t>Cytarabine hcl 100 mg inj</t>
  </si>
  <si>
    <t>J9120</t>
  </si>
  <si>
    <t>Dactinomycin injection</t>
  </si>
  <si>
    <t>J9130</t>
  </si>
  <si>
    <t>Dacarbazine 100 mg inj</t>
  </si>
  <si>
    <t>J9145</t>
  </si>
  <si>
    <t>Injection, daratumumab 10 mg</t>
  </si>
  <si>
    <t>J9150</t>
  </si>
  <si>
    <t>Daunorubicin injection</t>
  </si>
  <si>
    <t>J9153</t>
  </si>
  <si>
    <t>Inj daunorubicin, cytarabine</t>
  </si>
  <si>
    <t>1 MG/2.27 MG</t>
  </si>
  <si>
    <t>J9155</t>
  </si>
  <si>
    <t>Degarelix injection</t>
  </si>
  <si>
    <t>Docetaxel injection</t>
  </si>
  <si>
    <t>J9173</t>
  </si>
  <si>
    <t>Inj., durvalumab, 10 mg</t>
  </si>
  <si>
    <t>J9176</t>
  </si>
  <si>
    <t>Injection, elotuzumab, 1mg</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</si>
  <si>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</si>
  <si>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</si>
  <si>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</si>
  <si>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</si>
  <si>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</si>
  <si>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</si>
  <si>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</si>
  <si>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</si>
  <si>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</si>
  <si>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</si>
  <si>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</si>
  <si>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</si>
  <si>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Gemcitabine hcl injection</t>
  </si>
  <si>
    <t>J9202</t>
  </si>
  <si>
    <t>Goserelin acetate implant</t>
  </si>
  <si>
    <t>3.6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</si>
  <si>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</si>
  <si>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</si>
  <si>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</si>
  <si>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</si>
  <si>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</si>
  <si>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</si>
  <si>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</si>
  <si>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</si>
  <si>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</si>
  <si>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</si>
  <si>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</si>
  <si>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</si>
  <si>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J9214</t>
  </si>
  <si>
    <t>Interferon alfa-2b inj</t>
  </si>
  <si>
    <t>1 MIL UNITS</t>
  </si>
  <si>
    <t>J9217</t>
  </si>
  <si>
    <t>Leuprolide acetate suspnsion</t>
  </si>
  <si>
    <t>7.5 MG</t>
  </si>
  <si>
    <t>J9218</t>
  </si>
  <si>
    <t>Leuprolide acetate injeciton</t>
  </si>
  <si>
    <t>J9225</t>
  </si>
  <si>
    <t>Vantas implant</t>
  </si>
  <si>
    <t>J9226</t>
  </si>
  <si>
    <t>Supprelin la implant</t>
  </si>
  <si>
    <t>J9228</t>
  </si>
  <si>
    <t>Ipilimumab injection</t>
  </si>
  <si>
    <t>J9245</t>
  </si>
  <si>
    <t>Inj melphalan hydrochl 50 mg</t>
  </si>
  <si>
    <t>Methotrexate sodium inj</t>
  </si>
  <si>
    <t>J9260</t>
  </si>
  <si>
    <t>J9261</t>
  </si>
  <si>
    <t>Nelarabine injection</t>
  </si>
  <si>
    <t>J9262</t>
  </si>
  <si>
    <t>Inj, omacetaxine mep, 0.01mg</t>
  </si>
  <si>
    <t>J9263</t>
  </si>
  <si>
    <t>Oxaliplatin</t>
  </si>
  <si>
    <t>J9264</t>
  </si>
  <si>
    <t>Paclitaxel protein bound</t>
  </si>
  <si>
    <t>J9266</t>
  </si>
  <si>
    <t>Pegaspargase injection</t>
  </si>
  <si>
    <t>1 EA</t>
  </si>
  <si>
    <t>J9267</t>
  </si>
  <si>
    <t>Paclitaxel injection</t>
  </si>
  <si>
    <t>J9268</t>
  </si>
  <si>
    <t>Pentostatin injection</t>
  </si>
  <si>
    <t>J9271</t>
  </si>
  <si>
    <t>Inj pembrolizumab</t>
  </si>
  <si>
    <t>J9280</t>
  </si>
  <si>
    <t>Mitomycin injection</t>
  </si>
  <si>
    <t>J9285</t>
  </si>
  <si>
    <t>Inj, olaratumab, 10 mg</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</si>
  <si>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</si>
  <si>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</si>
  <si>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</si>
  <si>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</si>
  <si>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</si>
  <si>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</si>
  <si>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</si>
  <si>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</si>
  <si>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</si>
  <si>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</si>
  <si>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</si>
  <si>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</si>
  <si>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</si>
  <si>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</si>
  <si>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</si>
  <si>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</si>
  <si>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</si>
  <si>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</si>
  <si>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</si>
  <si>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</si>
  <si>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J9311</t>
  </si>
  <si>
    <t>Inj rituximab, hyaluronidase</t>
  </si>
  <si>
    <t>10 mg</t>
  </si>
  <si>
    <t>J9312</t>
  </si>
  <si>
    <t>Inj., rituximab, 10 mg</t>
  </si>
  <si>
    <t>J9315</t>
  </si>
  <si>
    <t>Romidepsin injection</t>
  </si>
  <si>
    <t>J9320</t>
  </si>
  <si>
    <t>Streptozocin injection</t>
  </si>
  <si>
    <t>J9325</t>
  </si>
  <si>
    <t>Inj talimogene laherparepvec</t>
  </si>
  <si>
    <t>1 million PFU</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</si>
  <si>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</si>
  <si>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</si>
  <si>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</si>
  <si>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</si>
  <si>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</si>
  <si>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</si>
  <si>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</si>
  <si>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</si>
  <si>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</si>
  <si>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</si>
  <si>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</si>
  <si>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</si>
  <si>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</si>
  <si>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Inj trastuzumab excl biosimi</t>
  </si>
  <si>
    <t>J9356</t>
  </si>
  <si>
    <t>Inj. herceptin hylecta, 10mg</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</si>
  <si>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</si>
  <si>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</si>
  <si>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</si>
  <si>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</si>
  <si>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</si>
  <si>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</si>
  <si>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</si>
  <si>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</si>
  <si>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</si>
  <si>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</si>
  <si>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</si>
  <si>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</si>
  <si>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</si>
  <si>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</si>
  <si>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P9041</t>
  </si>
  <si>
    <t>Albumin (human),5%, 50ml</t>
  </si>
  <si>
    <t>P9045</t>
  </si>
  <si>
    <t>Albumin (human), 5%, 250 ml</t>
  </si>
  <si>
    <t>P9046</t>
  </si>
  <si>
    <t>Albumin (human), 25%, 20 ml</t>
  </si>
  <si>
    <t>20 ML</t>
  </si>
  <si>
    <t>P9047</t>
  </si>
  <si>
    <t>Albumin (human), 25%, 50ml</t>
  </si>
  <si>
    <t>Q0138</t>
  </si>
  <si>
    <t>Ferumoxytol, non-esrd</t>
  </si>
  <si>
    <t>Q0139</t>
  </si>
  <si>
    <t>Ferumoxytol, esrd use</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</si>
  <si>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</si>
  <si>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</si>
  <si>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</si>
  <si>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</si>
  <si>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</si>
  <si>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</si>
  <si>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</si>
  <si>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</si>
  <si>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</si>
  <si>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</si>
  <si>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</si>
  <si>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</si>
  <si>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Q2035</t>
  </si>
  <si>
    <t>Afluria vacc, 3 yrs &amp; &gt;, im</t>
  </si>
  <si>
    <t>Q2043</t>
  </si>
  <si>
    <t>Sipuleucel-t auto cd54+</t>
  </si>
  <si>
    <t>Per infusion (minimum 50 million cells)</t>
  </si>
  <si>
    <t>Doxorubicin inj 10mg</t>
  </si>
  <si>
    <t>Q3027</t>
  </si>
  <si>
    <t>Inj beta interferon im 1 mcg</t>
  </si>
  <si>
    <t>Q4074</t>
  </si>
  <si>
    <t>Iloprost non-comp unit dose</t>
  </si>
  <si>
    <t>UP TO 20 MCG</t>
  </si>
  <si>
    <t>Q4081</t>
  </si>
  <si>
    <t>Epoetin alfa, 100 units esrd</t>
  </si>
  <si>
    <t>Q4101</t>
  </si>
  <si>
    <t>Apligraf</t>
  </si>
  <si>
    <t>Q4102</t>
  </si>
  <si>
    <t>Oasis wound matrix</t>
  </si>
  <si>
    <t>Q4106</t>
  </si>
  <si>
    <t>Dermagraft</t>
  </si>
  <si>
    <t>Q4107</t>
  </si>
  <si>
    <t>Graftjacket</t>
  </si>
  <si>
    <t>Q4110</t>
  </si>
  <si>
    <t>Primatrix</t>
  </si>
  <si>
    <t>Q4111</t>
  </si>
  <si>
    <t>Gammagraft</t>
  </si>
  <si>
    <t>Q4112</t>
  </si>
  <si>
    <t>Cymetra injectable</t>
  </si>
  <si>
    <t>Q4113</t>
  </si>
  <si>
    <t>Graftjacket xpress</t>
  </si>
  <si>
    <t>Q4115</t>
  </si>
  <si>
    <t>Alloskin</t>
  </si>
  <si>
    <t>Q4121</t>
  </si>
  <si>
    <t>Theraskin</t>
  </si>
  <si>
    <t>Q4132</t>
  </si>
  <si>
    <t>Grafix core, grafixpl core</t>
  </si>
  <si>
    <t>Q4133</t>
  </si>
  <si>
    <t>Grafix stravix prime pl sqcm</t>
  </si>
  <si>
    <t>Q4137</t>
  </si>
  <si>
    <t>Amnioexcel biodexcel 1sq cm</t>
  </si>
  <si>
    <t>Q4145</t>
  </si>
  <si>
    <t>Epifix, inj, 1mg</t>
  </si>
  <si>
    <t>Q4151</t>
  </si>
  <si>
    <t>Amnioband, guardian 1 sq cm</t>
  </si>
  <si>
    <t>Q4154</t>
  </si>
  <si>
    <t>Biovance 1 square cm</t>
  </si>
  <si>
    <t>Q4159</t>
  </si>
  <si>
    <t>Affinity1 square cm</t>
  </si>
  <si>
    <t>Q4160</t>
  </si>
  <si>
    <t>Nushield 1 square cm</t>
  </si>
  <si>
    <t>Q4170</t>
  </si>
  <si>
    <t>Cygnus, per sq cm</t>
  </si>
  <si>
    <t>Q4186</t>
  </si>
  <si>
    <t>Epifix 1 sq cm</t>
  </si>
  <si>
    <t>Q4195</t>
  </si>
  <si>
    <t>Puraply 1 sq cm</t>
  </si>
  <si>
    <t>Q4196</t>
  </si>
  <si>
    <t>Puraply am 1 sq cm</t>
  </si>
  <si>
    <t>Q5101</t>
  </si>
  <si>
    <t>Injection, zarxio</t>
  </si>
  <si>
    <t>Q5103</t>
  </si>
  <si>
    <t>Injection, inflectra</t>
  </si>
  <si>
    <t>Q5104</t>
  </si>
  <si>
    <t>Injection, renflexis</t>
  </si>
  <si>
    <t>Q5105</t>
  </si>
  <si>
    <t>Inj retacrit esrd on dialysi</t>
  </si>
  <si>
    <t>Q5106</t>
  </si>
  <si>
    <t>Inj retacrit non-esrd use</t>
  </si>
  <si>
    <t>Q5108</t>
  </si>
  <si>
    <t>Injection, fulphila</t>
  </si>
  <si>
    <t>Q5110</t>
  </si>
  <si>
    <t>Nivestym</t>
  </si>
  <si>
    <t>Q5111</t>
  </si>
  <si>
    <t>Injection, udenyca 0.5 mg</t>
  </si>
  <si>
    <t>Q9950</t>
  </si>
  <si>
    <t>Inj sulf hexa lipid microsph</t>
  </si>
  <si>
    <t>Q9956</t>
  </si>
  <si>
    <t>Inj octafluoropropane mic,ml</t>
  </si>
  <si>
    <t>Q9957</t>
  </si>
  <si>
    <t>Inj perflutren lip micros,ml</t>
  </si>
  <si>
    <t>Q9958</t>
  </si>
  <si>
    <t>Hocm &lt;=149 mg/ml iodine, 1ml</t>
  </si>
  <si>
    <t>Q9963</t>
  </si>
  <si>
    <t>Hocm 350-399mg/ml iodine,1ml</t>
  </si>
  <si>
    <t>Q9965</t>
  </si>
  <si>
    <t>Locm 100-199mg/ml iodine,1ml</t>
  </si>
  <si>
    <t>Q9966</t>
  </si>
  <si>
    <t>Locm 200-299mg/ml iodine,1ml</t>
  </si>
  <si>
    <t>Q9967</t>
  </si>
  <si>
    <t>Locm 300-399mg/ml iodine,1ml</t>
  </si>
  <si>
    <t>Q9991</t>
  </si>
  <si>
    <t>Buprenorph xr 100 mg or less</t>
  </si>
  <si>
    <t>Less than or equal to 100 MG</t>
  </si>
  <si>
    <t>Q9992</t>
  </si>
  <si>
    <t>Buprenorphine xr over 100 mg</t>
  </si>
  <si>
    <t>Greater than 100 MG</t>
  </si>
  <si>
    <t>Column1</t>
  </si>
  <si>
    <t>Payment Limit 2019Q3</t>
  </si>
  <si>
    <t>Payment limit per unit 2019Q3</t>
  </si>
  <si>
    <t>MG</t>
  </si>
  <si>
    <t>ASP prices weren't available 2019Q1</t>
  </si>
  <si>
    <t>Tamoxifen</t>
  </si>
  <si>
    <t>Toremifene</t>
  </si>
  <si>
    <t>Anastrozole</t>
  </si>
  <si>
    <t>Letrozole</t>
  </si>
  <si>
    <t>Exemestane</t>
  </si>
  <si>
    <t>Bicalutamide</t>
  </si>
  <si>
    <t>Ibrance</t>
  </si>
  <si>
    <t>Lynparza</t>
  </si>
  <si>
    <t>Talzenna</t>
  </si>
  <si>
    <t>Iressa</t>
  </si>
  <si>
    <t>Tykerb</t>
  </si>
  <si>
    <t>Gilotrif</t>
  </si>
  <si>
    <t>Tagrisso</t>
  </si>
  <si>
    <t>Alecensa</t>
  </si>
  <si>
    <t>Xalkori</t>
  </si>
  <si>
    <t>Tafinlar</t>
  </si>
  <si>
    <t>Zelboraf</t>
  </si>
  <si>
    <t>Erleada</t>
  </si>
  <si>
    <t>Xtandi</t>
  </si>
  <si>
    <t>Yonsa</t>
  </si>
  <si>
    <t>Braftovi</t>
  </si>
  <si>
    <t>Stivarga</t>
  </si>
  <si>
    <t>Entrectinib PO</t>
  </si>
  <si>
    <t>Lonsurf</t>
  </si>
  <si>
    <t>Vizimpro</t>
  </si>
  <si>
    <t>Alunbrig</t>
  </si>
  <si>
    <t>Lorbrena</t>
  </si>
  <si>
    <t>Balversa</t>
  </si>
  <si>
    <t>Zydelig</t>
  </si>
  <si>
    <t>Copiktra</t>
  </si>
  <si>
    <t>Calquence</t>
  </si>
  <si>
    <t>Venclexta</t>
  </si>
  <si>
    <t>Sutent</t>
  </si>
  <si>
    <t>Inlyta</t>
  </si>
  <si>
    <t>Votrient</t>
  </si>
  <si>
    <t>Nexavar</t>
  </si>
  <si>
    <t>Ninlaro</t>
  </si>
  <si>
    <t>Farydak</t>
  </si>
  <si>
    <t>Pomalyst</t>
  </si>
  <si>
    <t>Matulane</t>
  </si>
  <si>
    <t>Erivedge</t>
  </si>
  <si>
    <t>Rubraca</t>
  </si>
  <si>
    <t>Zejula</t>
  </si>
  <si>
    <t>Tasigna</t>
  </si>
  <si>
    <t>Mekinist</t>
  </si>
  <si>
    <t>Mektovi</t>
  </si>
  <si>
    <t>Cotellic</t>
  </si>
  <si>
    <t>Hydroxyurea</t>
  </si>
  <si>
    <t>Thalomid</t>
  </si>
  <si>
    <t>Rozlytrek</t>
  </si>
  <si>
    <t>Darolutamide PO</t>
  </si>
  <si>
    <t>Polatuzumab vedotin-piiq IV</t>
  </si>
  <si>
    <t>Pexidartinib PO</t>
  </si>
  <si>
    <t>Selinexor PO</t>
  </si>
  <si>
    <t>Newly approved June 2019</t>
  </si>
  <si>
    <t>Nubeqa</t>
  </si>
  <si>
    <t>Turalio</t>
  </si>
  <si>
    <t>J9203</t>
  </si>
  <si>
    <t>ASP available beginning 2018Q1, not given from 2018Q4 to 2019Q4, and available again 2020Q1. Pulled last available ASP time of update (2018Q3) = $1931.56/mg</t>
  </si>
  <si>
    <t>HCPCS</t>
  </si>
  <si>
    <t>Drug ROA</t>
  </si>
  <si>
    <t>Payment per Dosage Unit</t>
  </si>
  <si>
    <t>Unit Measure</t>
  </si>
  <si>
    <t>Source</t>
  </si>
  <si>
    <t>J9015</t>
  </si>
  <si>
    <t>J9057</t>
  </si>
  <si>
    <t xml:space="preserve">
microCurie 100% AWP = $164.280
microCurie 100% WAC = $136.980
</t>
  </si>
  <si>
    <t>A9543</t>
  </si>
  <si>
    <t>post-SC admin price</t>
  </si>
  <si>
    <t>http://www.medpac.gov/docs/default-source/reports/chapter-3-online-only-appendixes-part-b-drug-payment-policy-issues-june-2015-report-.pdf?sfvrsn=0</t>
  </si>
  <si>
    <t>UNITS</t>
  </si>
  <si>
    <t>https://www.ashclinicalnews.org/news/cms-finalizes-new-car-t-cell-payment-structure/</t>
  </si>
  <si>
    <t xml:space="preserve">https://www.cms.gov/Regulations-and-Guidance/Guidance/Transmittals/downloads/R1209CP.pdf </t>
  </si>
  <si>
    <t>J9230</t>
  </si>
  <si>
    <t>Payment Limit 2020Q1</t>
  </si>
  <si>
    <t>Laiv4 vaccine intranasal</t>
  </si>
  <si>
    <t>0.2 ML</t>
  </si>
  <si>
    <t>A9575</t>
  </si>
  <si>
    <t>Inj gadoterate meglumi 0.1ml</t>
  </si>
  <si>
    <t>N/A</t>
  </si>
  <si>
    <t>J0121</t>
  </si>
  <si>
    <t>Inj., omadacycline, 1 mg</t>
  </si>
  <si>
    <t>J0122</t>
  </si>
  <si>
    <t>Inj., eravacycline, 1 mg</t>
  </si>
  <si>
    <t>J0179</t>
  </si>
  <si>
    <t>Inj, brolucizumab-dbll, 1 mg</t>
  </si>
  <si>
    <t>J0222</t>
  </si>
  <si>
    <t>Inj., patisiran, 0.1 mg</t>
  </si>
  <si>
    <t>Inj levoleucovorin nos 0.5mg</t>
  </si>
  <si>
    <t>J0642</t>
  </si>
  <si>
    <t>Injection, khapzory, 0.5 mg</t>
  </si>
  <si>
    <t>J0841</t>
  </si>
  <si>
    <t>Inj crotalidae im f(ab')2 eq</t>
  </si>
  <si>
    <t>J1303</t>
  </si>
  <si>
    <t>Inj., ravulizumab-cwvz 10 mg</t>
  </si>
  <si>
    <t>J1746</t>
  </si>
  <si>
    <t>Inj., ibalizumab-uiyk, 10 mg</t>
  </si>
  <si>
    <t>J1943</t>
  </si>
  <si>
    <t>Inj., aristada initio, 1 mg</t>
  </si>
  <si>
    <t>J1944</t>
  </si>
  <si>
    <t>Aripirazole lauroxil 1 mg</t>
  </si>
  <si>
    <t>Inj risperdal consta, 0.5 mg</t>
  </si>
  <si>
    <t>J2798</t>
  </si>
  <si>
    <t>Inj., perseris, 0.5 mg</t>
  </si>
  <si>
    <t>0.5 mg</t>
  </si>
  <si>
    <t>J3111</t>
  </si>
  <si>
    <t>Inj. romosozumab-aqqg 1 mg</t>
  </si>
  <si>
    <t>J7177</t>
  </si>
  <si>
    <t>Inj., fibryga, 1 mg</t>
  </si>
  <si>
    <t>J7203</t>
  </si>
  <si>
    <t>Factor ix recomb gly rebinyn</t>
  </si>
  <si>
    <t>Inj. jivi 1 iu</t>
  </si>
  <si>
    <t>Inj, afstyla, 1 i.u.</t>
  </si>
  <si>
    <t>Inj., retisert, 0.01 mg</t>
  </si>
  <si>
    <t>Inj., iluvien, 0.01 mg</t>
  </si>
  <si>
    <t>J7324</t>
  </si>
  <si>
    <t>Orthovisc inj per dose</t>
  </si>
  <si>
    <t>PER DOSE</t>
  </si>
  <si>
    <t>J7327</t>
  </si>
  <si>
    <t>Monovisc inj per dose</t>
  </si>
  <si>
    <t>J9119</t>
  </si>
  <si>
    <t>Inj., cemiplimab-rwlc, 1 mg</t>
  </si>
  <si>
    <t>In gemcitabine hcl nos 200mg</t>
  </si>
  <si>
    <t>Gemtuzumab ozogamicin 0.1 mg</t>
  </si>
  <si>
    <t>J9204</t>
  </si>
  <si>
    <t>Inj mogamulizumab-kpkc, 1 mg</t>
  </si>
  <si>
    <t>J9229</t>
  </si>
  <si>
    <t>Inj inotuzumab ozogam 0.1 mg</t>
  </si>
  <si>
    <t>J9309</t>
  </si>
  <si>
    <t>Inj, polatuzumab vedotin 1mg</t>
  </si>
  <si>
    <t>Q5107</t>
  </si>
  <si>
    <t>Inj mvasi 10 mg</t>
  </si>
  <si>
    <t>Q5114</t>
  </si>
  <si>
    <t>Inj ogivri 10 mg</t>
  </si>
  <si>
    <t>Q5115</t>
  </si>
  <si>
    <t>Inj truxima 10 mg</t>
  </si>
  <si>
    <t>Q5117</t>
  </si>
  <si>
    <t>Inj., kanjinti, 10 mg</t>
  </si>
  <si>
    <t>Q9960</t>
  </si>
  <si>
    <t>Hocm 200-249mg/ml iodine,1ml</t>
  </si>
  <si>
    <t>Q9961</t>
  </si>
  <si>
    <t>Hocm 250-299mg/ml iodine,1ml</t>
  </si>
  <si>
    <t>Exclude until ASP available</t>
  </si>
  <si>
    <t>J0223</t>
  </si>
  <si>
    <t>Inj givosiran 0.5 mg</t>
  </si>
  <si>
    <t>J0291</t>
  </si>
  <si>
    <t>Inj., plazomicin, 5 mg</t>
  </si>
  <si>
    <t>J0691</t>
  </si>
  <si>
    <t>Inj lefamulin 1 mg</t>
  </si>
  <si>
    <t>J0791</t>
  </si>
  <si>
    <t>Inj crizanlizumab-tmca 5mg</t>
  </si>
  <si>
    <t>J1558</t>
  </si>
  <si>
    <t>Inj. xembify, 100 mg</t>
  </si>
  <si>
    <t>J7314</t>
  </si>
  <si>
    <t>Inj., yutiq, 0.01 mg</t>
  </si>
  <si>
    <t>J7342</t>
  </si>
  <si>
    <t>Ciprofloxacin otic susp 6 mg</t>
  </si>
  <si>
    <t>J7677</t>
  </si>
  <si>
    <t>Revefenacin inh non-com 1mcg</t>
  </si>
  <si>
    <t>J9177</t>
  </si>
  <si>
    <t>Inj enfort vedo-ejfv 0.25mg</t>
  </si>
  <si>
    <t>J9358</t>
  </si>
  <si>
    <t>Inj fam-trastu deru-nxki 1mg</t>
  </si>
  <si>
    <t>Q5112</t>
  </si>
  <si>
    <t>Inj ontruzant 10 mg</t>
  </si>
  <si>
    <t>Q5113</t>
  </si>
  <si>
    <t>Inj herzuma 10 mg</t>
  </si>
  <si>
    <t>Q5116</t>
  </si>
  <si>
    <t>Inj., trazimera, 10 mg</t>
  </si>
  <si>
    <t>Q5118</t>
  </si>
  <si>
    <t>Inj., zirabev, 10 mg</t>
  </si>
  <si>
    <t>Q5119</t>
  </si>
  <si>
    <t>Inj ruxience, 10 mg</t>
  </si>
  <si>
    <t>Q5120</t>
  </si>
  <si>
    <t>Inj pegfilgrastim-bmez 0.5mg</t>
  </si>
  <si>
    <t>Carboplatin IP</t>
  </si>
  <si>
    <t>Paclitaxel PUMP</t>
  </si>
  <si>
    <t>Alpelisib PO</t>
  </si>
  <si>
    <t>Tucatinib PO</t>
  </si>
  <si>
    <t>Neratinib PO</t>
  </si>
  <si>
    <t>Selpercatinib PO</t>
  </si>
  <si>
    <t>Vandetanib PO</t>
  </si>
  <si>
    <t>Enfortumab vedotin IV</t>
  </si>
  <si>
    <t>Zanubrutinib PO</t>
  </si>
  <si>
    <t>Pemigatinib PO</t>
  </si>
  <si>
    <t>Midostaurin PO</t>
  </si>
  <si>
    <t>Payment limit per unit 2020Q3</t>
  </si>
  <si>
    <t>kBq</t>
  </si>
  <si>
    <t>pre-SC admin price</t>
  </si>
  <si>
    <t>PFU</t>
  </si>
  <si>
    <t>cc</t>
  </si>
  <si>
    <t>AUC</t>
  </si>
  <si>
    <t>10</t>
  </si>
  <si>
    <t>1</t>
  </si>
  <si>
    <t>5</t>
  </si>
  <si>
    <t>2</t>
  </si>
  <si>
    <t>500</t>
  </si>
  <si>
    <t>25</t>
  </si>
  <si>
    <t>200</t>
  </si>
  <si>
    <t>0.1</t>
  </si>
  <si>
    <t>0.25</t>
  </si>
  <si>
    <t>7.5</t>
  </si>
  <si>
    <t>20</t>
  </si>
  <si>
    <t>0.5</t>
  </si>
  <si>
    <t>50</t>
  </si>
  <si>
    <t>100</t>
  </si>
  <si>
    <t>15</t>
  </si>
  <si>
    <t>4</t>
  </si>
  <si>
    <t>Drug combination - divided by trifluridine unit bc it is the unit we are following for dosage</t>
  </si>
  <si>
    <t>Piqray</t>
  </si>
  <si>
    <t>Tukysa</t>
  </si>
  <si>
    <t>Nerlynx</t>
  </si>
  <si>
    <t>Retevmo</t>
  </si>
  <si>
    <t>Caprelsa</t>
  </si>
  <si>
    <t>Brukinsa</t>
  </si>
  <si>
    <t>Pemazyre</t>
  </si>
  <si>
    <t>Rydapt</t>
  </si>
  <si>
    <t>Payment limit 2020Q3</t>
  </si>
  <si>
    <t>Change in HCPCS code from 90585 to 90586 in july 2020</t>
  </si>
  <si>
    <t>ASP price not available (approved Sept 2017)</t>
  </si>
  <si>
    <t>ASP discontinued 2019 Q2</t>
  </si>
  <si>
    <t>Peg-filgrastim SUBQ</t>
  </si>
  <si>
    <t>Goserelin SUBQ</t>
  </si>
  <si>
    <t>Triptorelin IM</t>
  </si>
  <si>
    <t>Aprepitant PO</t>
  </si>
  <si>
    <t>Netupitant+Palonosetron PO</t>
  </si>
  <si>
    <t>Rolapitant PO</t>
  </si>
  <si>
    <t>Aprepitant IV</t>
  </si>
  <si>
    <t>Fosaprepitant IV</t>
  </si>
  <si>
    <t>Fosnetupitant+Palonosetron IV</t>
  </si>
  <si>
    <t>Metoclopramide PO</t>
  </si>
  <si>
    <t>Prochlorperazine PO</t>
  </si>
  <si>
    <t>Dolasetron PO</t>
  </si>
  <si>
    <t>Granisetron PO</t>
  </si>
  <si>
    <t>Ondansetron PO</t>
  </si>
  <si>
    <t>J1260</t>
  </si>
  <si>
    <t>Metoclopramide IV</t>
  </si>
  <si>
    <t>Prochlorperazine IV</t>
  </si>
  <si>
    <t>Granisetron IV</t>
  </si>
  <si>
    <t>Ondansetron IV</t>
  </si>
  <si>
    <t>Palonosetron IV</t>
  </si>
  <si>
    <t>ASP master file 2018Q3 - ASP not given from 2018Q4 to 2019Q4, and available again 2020Q1 - apply medical CPI</t>
  </si>
  <si>
    <t>ASP master file 2019Q2 - ASP discontinued after 2019Q2 - apply medical CPI</t>
  </si>
  <si>
    <t>Deactivated, no integrated units sold since 2017 according to Bloomberg</t>
  </si>
  <si>
    <t>Histrelin IM</t>
  </si>
  <si>
    <t>Kisqali</t>
  </si>
  <si>
    <t>Zykadia</t>
  </si>
  <si>
    <t>Vitrakvi</t>
  </si>
  <si>
    <t>Redbook name (brand or generic) (Jul 2020)</t>
  </si>
  <si>
    <t>Redbook package strength (mg) (Jul 2020)</t>
  </si>
  <si>
    <t>Redbook WAC price per tablet/capsule (Jul 2020)</t>
  </si>
  <si>
    <t>Redbook WAC price per unit (Jul 2020)</t>
  </si>
  <si>
    <t>Redbook Unit (Jul 2020)</t>
  </si>
  <si>
    <t>Redbook name (brand or generic) (Jan 2019)</t>
  </si>
  <si>
    <t>Redbook package strength (mg) (Jan 2019)</t>
  </si>
  <si>
    <t>Redbook WAC price per tablet/capsule (Jan 2019)</t>
  </si>
  <si>
    <t>Redbook WAC price per unit (Jan 2019)</t>
  </si>
  <si>
    <t>Redbook Unit (Jan 2019)</t>
  </si>
  <si>
    <t>Redbook name (brand or generic) (Jul 2019)</t>
  </si>
  <si>
    <t>Redbook package strength (mg) (Jul 2019)</t>
  </si>
  <si>
    <t>Redbook WAC price per tablet/capsule (Jul 2019)</t>
  </si>
  <si>
    <t>Redbook WAC price per unit (Jul 2019)</t>
  </si>
  <si>
    <t>Redbook Unit (Jul 2019)</t>
  </si>
  <si>
    <t>Redbook name (brand or generic) (Jan 2020)</t>
  </si>
  <si>
    <t>Redbook package strength (mg) (Jan 2020)</t>
  </si>
  <si>
    <t>Redbook WAC price per tablet/capsule (Jan 2020)</t>
  </si>
  <si>
    <t>Redbook WAC price per unit (Jan 2020)</t>
  </si>
  <si>
    <t>Redbook Unit (Jan 2020)</t>
  </si>
  <si>
    <t>51862-0446-30</t>
  </si>
  <si>
    <t>mg</t>
  </si>
  <si>
    <t>64980-0404-03</t>
  </si>
  <si>
    <t>Fareston</t>
  </si>
  <si>
    <t>42747-0327-30</t>
  </si>
  <si>
    <t>16729-0035-10</t>
  </si>
  <si>
    <t>00093-7620-56</t>
  </si>
  <si>
    <t>16729-0034-10</t>
  </si>
  <si>
    <t>00054-0080-13</t>
  </si>
  <si>
    <t>00832-0595-30</t>
  </si>
  <si>
    <t>00069-0189-21</t>
  </si>
  <si>
    <t>00069-0688-03</t>
  </si>
  <si>
    <t>00078-0874-63</t>
  </si>
  <si>
    <t>00310-0679-12</t>
  </si>
  <si>
    <t>50881-0028-01</t>
  </si>
  <si>
    <t>72579-0011-02</t>
  </si>
  <si>
    <t>00002-2980-26</t>
  </si>
  <si>
    <t>70437-0240-18</t>
  </si>
  <si>
    <t>51144-0002-60</t>
  </si>
  <si>
    <t>00078-0708-02</t>
  </si>
  <si>
    <t>65597-0402-20</t>
  </si>
  <si>
    <t>50419-0395-01</t>
  </si>
  <si>
    <t>70255-0010-02</t>
  </si>
  <si>
    <t>00078-0671-19</t>
  </si>
  <si>
    <t>00310-0482-30</t>
  </si>
  <si>
    <t>00310-1350-30</t>
  </si>
  <si>
    <t>50242-0130-01</t>
  </si>
  <si>
    <t>63020-0180-30</t>
  </si>
  <si>
    <t>00078-0694-84</t>
  </si>
  <si>
    <t>00069-8140-20</t>
  </si>
  <si>
    <t>00078-0681-66</t>
  </si>
  <si>
    <t>50242-0090-02</t>
  </si>
  <si>
    <t>59676-0600-12</t>
  </si>
  <si>
    <t>00469-0125-99</t>
  </si>
  <si>
    <t>16729-0023-10</t>
  </si>
  <si>
    <t>47335-0401-81</t>
  </si>
  <si>
    <t>70255-0025-01</t>
  </si>
  <si>
    <t>50419-0171-03</t>
  </si>
  <si>
    <t>64842-1020-01</t>
  </si>
  <si>
    <t>61958-1702-01</t>
  </si>
  <si>
    <t>71779-0125-02</t>
  </si>
  <si>
    <t>00310-0512-60</t>
  </si>
  <si>
    <t>00074-0576-22</t>
  </si>
  <si>
    <t>00078-0670-66</t>
  </si>
  <si>
    <t>50419-0488-58</t>
  </si>
  <si>
    <t>63020-0080-02</t>
  </si>
  <si>
    <t>00078-0652-06</t>
  </si>
  <si>
    <t>59572-0504-21</t>
  </si>
  <si>
    <t>54482-0054-01</t>
  </si>
  <si>
    <t>50242-0140-01</t>
  </si>
  <si>
    <t>50242-0717-01</t>
  </si>
  <si>
    <t>49884-0724-01</t>
  </si>
  <si>
    <t>50242-0094-90</t>
  </si>
  <si>
    <t>69656-0103-30</t>
  </si>
  <si>
    <t>00069-0231-01</t>
  </si>
  <si>
    <t>00069-1195-30</t>
  </si>
  <si>
    <t>00597-0138-30</t>
  </si>
  <si>
    <t>00069-2299-30</t>
  </si>
  <si>
    <t>00078-0640-70</t>
  </si>
  <si>
    <t>71777-0391-01</t>
  </si>
  <si>
    <t>59676-0050-28</t>
  </si>
  <si>
    <t>00069-0980-38</t>
  </si>
  <si>
    <t>00069-0151-11</t>
  </si>
  <si>
    <t>69660-0203-91</t>
  </si>
  <si>
    <t>00078-0526-51</t>
  </si>
  <si>
    <t>00078-0668-15</t>
  </si>
  <si>
    <t>59572-0220-16</t>
  </si>
  <si>
    <t>58468-7840-03</t>
  </si>
  <si>
    <t>00078-0698-19</t>
  </si>
  <si>
    <t xml:space="preserve">HCPCS code for 2020 prices is for truxima, the biosimilar with the most units sold during each period according to Bloomberg </t>
  </si>
  <si>
    <t>0.1 ml</t>
  </si>
  <si>
    <t>J1267</t>
  </si>
  <si>
    <t>Doripenem injection</t>
  </si>
  <si>
    <t>Per Dose</t>
  </si>
  <si>
    <t>J9031</t>
  </si>
  <si>
    <t>Bcg live intravesical vac</t>
  </si>
  <si>
    <t>J9098</t>
  </si>
  <si>
    <t>Cytarabine liposome inj</t>
  </si>
  <si>
    <t>Mechlorethamine hcl inj</t>
  </si>
  <si>
    <t>Trastuzumab injection</t>
  </si>
  <si>
    <t>Payment limit per unit 2019Q1.</t>
  </si>
  <si>
    <t>HCPCS code 2019Q3</t>
  </si>
  <si>
    <t>HCPCS code dosage 2019Q3</t>
  </si>
  <si>
    <t>HCPCS code 2019Q1</t>
  </si>
  <si>
    <t>HCPCS code dosage unit 2019Q3</t>
  </si>
  <si>
    <t>Payment limit per unit 2020Q12</t>
  </si>
  <si>
    <t>HCPCS code 2020Q1</t>
  </si>
  <si>
    <t>HCPCS code dosage 2020Q1</t>
  </si>
  <si>
    <t>HCPCS code dosage unit 2020Q1</t>
  </si>
  <si>
    <t>HCPCS code 2020Q3</t>
  </si>
  <si>
    <t>HCPCS code dosage 2020Q3</t>
  </si>
  <si>
    <t>HCPCS code dosage unit 2020Q3</t>
  </si>
  <si>
    <t xml:space="preserve">HCPCS code for 2020 prices is for kanjinti, the biosimilar with the most units sold during each period according to Bloomberg </t>
  </si>
  <si>
    <t>Avastin IV</t>
  </si>
  <si>
    <t>Only used for kidney cancer case where the guideline explicitly differentiates between the originator bevacizumab and bevacizumab-awwb</t>
  </si>
  <si>
    <t xml:space="preserve">HCPCS code for 2020 prices is for mvasi, the biosimilar with the most units sold during each period according to Bloomberg </t>
  </si>
  <si>
    <t>00002-6216-54</t>
  </si>
  <si>
    <t>Verzenio</t>
  </si>
  <si>
    <t>Tarceva</t>
  </si>
  <si>
    <t>50242-0064-01</t>
  </si>
  <si>
    <t>Erlotinib</t>
  </si>
  <si>
    <t>Imatinib</t>
  </si>
  <si>
    <t>00378-7133-93</t>
  </si>
  <si>
    <t>63304-0135-30</t>
  </si>
  <si>
    <t>00093-7630-56</t>
  </si>
  <si>
    <t>60505-2901-03</t>
  </si>
  <si>
    <t>Oral suspension is the most commonly prescribed dosage form overall, but tablets are recommended for cancer. Extracted price for most commonly prescribed tablet</t>
  </si>
  <si>
    <t>49884-0290-01</t>
  </si>
  <si>
    <t>Megestrol acetate</t>
  </si>
  <si>
    <t>Topical shampoo/cream is the most commonly prescribed dosage form overall, but tablets are recommended for cancer. Extracted price for most commonly prescribed tablet</t>
  </si>
  <si>
    <t>51672-4026-01</t>
  </si>
  <si>
    <t>Ketoconazole</t>
  </si>
  <si>
    <t>Imiquimod</t>
  </si>
  <si>
    <t>64380-0827-06</t>
  </si>
  <si>
    <t>57894-0150-12</t>
  </si>
  <si>
    <t>Zytiga</t>
  </si>
  <si>
    <t>72205-0030-92</t>
  </si>
  <si>
    <t>Abiraterone acetate</t>
  </si>
  <si>
    <t>00378-6920-78</t>
  </si>
  <si>
    <t>60505-4327-01</t>
  </si>
  <si>
    <t>45802-0368-62</t>
  </si>
  <si>
    <t>Everolimus</t>
  </si>
  <si>
    <t>%</t>
  </si>
  <si>
    <t>59572-0425-00</t>
  </si>
  <si>
    <t>Revlimid</t>
  </si>
  <si>
    <t>76388-0635-25</t>
  </si>
  <si>
    <t>Leukeran</t>
  </si>
  <si>
    <t>Imbruvica</t>
  </si>
  <si>
    <t>57962-0560-28</t>
  </si>
  <si>
    <t>42388-0013-14</t>
  </si>
  <si>
    <t>Cabometyx</t>
  </si>
  <si>
    <t>NDC (Jan 2019)</t>
  </si>
  <si>
    <t>NDC (Jul 2019)</t>
  </si>
  <si>
    <t>NDC (Jan 2020)</t>
  </si>
  <si>
    <t>NDC (Jul 2020)</t>
  </si>
  <si>
    <t>00078-0567-51</t>
  </si>
  <si>
    <t>Afinitor</t>
  </si>
  <si>
    <t>49884-0125-91</t>
  </si>
  <si>
    <t>00054-0471-21</t>
  </si>
  <si>
    <t>00555-0779-02</t>
  </si>
  <si>
    <t>Lenvima</t>
  </si>
  <si>
    <t>62856-0720-30</t>
  </si>
  <si>
    <t>Generic available until 2013 then rebranded as Gleostine (https://www.goodrx.com/blog/why-was-there-a-500-increase-on-cancer-treatment-lomustine/)</t>
  </si>
  <si>
    <t>Gleostine</t>
  </si>
  <si>
    <t>58181-3042-05</t>
  </si>
  <si>
    <t>00003-0857-22</t>
  </si>
  <si>
    <t>Sprycel</t>
  </si>
  <si>
    <t>00069-0136-01</t>
  </si>
  <si>
    <t>Bosulif</t>
  </si>
  <si>
    <t>72237-0101-04</t>
  </si>
  <si>
    <t>Xpovio</t>
  </si>
  <si>
    <t>17478-0766-10</t>
  </si>
  <si>
    <t>Progesterone</t>
  </si>
  <si>
    <t>Tretinoin</t>
  </si>
  <si>
    <t>Sulindac</t>
  </si>
  <si>
    <t>Hydrocortisone</t>
  </si>
  <si>
    <t>Leucovorin</t>
  </si>
  <si>
    <t>69452-0148-20</t>
  </si>
  <si>
    <t>00555-0808-02</t>
  </si>
  <si>
    <t>Metoclopramide</t>
  </si>
  <si>
    <t>51079-0667-20</t>
  </si>
  <si>
    <t>42806-0011-01</t>
  </si>
  <si>
    <t>00591-5660-01</t>
  </si>
  <si>
    <t>59762-0073-01</t>
  </si>
  <si>
    <t>59762-0074-01</t>
  </si>
  <si>
    <t>00555-0484-01</t>
  </si>
  <si>
    <t>00093-2204-01</t>
  </si>
  <si>
    <t>Capmatinib PO</t>
  </si>
  <si>
    <t>Tabrecta</t>
  </si>
  <si>
    <t>00078-0716-56</t>
  </si>
  <si>
    <t>Vyxeos IV</t>
  </si>
  <si>
    <t>Drug combination - divided by daunorubicin unit bc it is the unit we are following for dosage</t>
  </si>
  <si>
    <t>Cladribine IV</t>
  </si>
  <si>
    <t>Q0180</t>
  </si>
  <si>
    <t>Cytarabine PUMP</t>
  </si>
  <si>
    <t>Polatuzumab vedotin IV</t>
  </si>
  <si>
    <t>Fam-trastuzumab deruxtecan IV</t>
  </si>
  <si>
    <t>Sacituzumab govitecan IV</t>
  </si>
  <si>
    <t>J9317</t>
  </si>
  <si>
    <t>ASP not provided after 2019, carried over last available ASP price</t>
  </si>
  <si>
    <t>Omacetaxine PO</t>
  </si>
  <si>
    <t>63459-0177-14</t>
  </si>
  <si>
    <t>Synribo</t>
  </si>
  <si>
    <t>Ponatinib PO</t>
  </si>
  <si>
    <t>76189-0534-30</t>
  </si>
  <si>
    <t>Iclusig</t>
  </si>
  <si>
    <t>63020-0534-30</t>
  </si>
  <si>
    <t>HCPCS code 2021Q1</t>
  </si>
  <si>
    <t>HCPCS code dosage 2021Q1</t>
  </si>
  <si>
    <t>HCPCS code dosage unit 2021Q1</t>
  </si>
  <si>
    <t>Payment limit 2021Q1</t>
  </si>
  <si>
    <t>Payment limit per unit 2021Q1</t>
  </si>
  <si>
    <t>HCPCS code 2021Q3</t>
  </si>
  <si>
    <t>HCPCS code dosage 2021Q3</t>
  </si>
  <si>
    <t>HCPCS code dosage unit 2021Q3</t>
  </si>
  <si>
    <t>Payment limit 2021Q3</t>
  </si>
  <si>
    <t>Payment limit per unit 2021Q3</t>
  </si>
  <si>
    <t>HCPCS code 2022Q1</t>
  </si>
  <si>
    <t>HCPCS code dosage 2022Q1</t>
  </si>
  <si>
    <t>HCPCS code dosage unit 2022Q1</t>
  </si>
  <si>
    <t>Payment limit 2022Q1</t>
  </si>
  <si>
    <t>Payment limit per unit 2022Q1</t>
  </si>
  <si>
    <t>Vacc AIIV4 no prsrv 0.5ML IM</t>
  </si>
  <si>
    <t>J0742</t>
  </si>
  <si>
    <t>Inj imip 4 cilas 4 releb 2mg</t>
  </si>
  <si>
    <t>4 MG-4 MG-2 MG</t>
  </si>
  <si>
    <t>J0896</t>
  </si>
  <si>
    <t>Inj luspatercept-aamt 0.25mg</t>
  </si>
  <si>
    <t>J3032</t>
  </si>
  <si>
    <t>Inj. eptinezumab-jjmr 1 mg</t>
  </si>
  <si>
    <t>J3241</t>
  </si>
  <si>
    <t>Inj. teprotumumab-trbw 10 mg</t>
  </si>
  <si>
    <t>J7204</t>
  </si>
  <si>
    <t>Inj recombin esperoct per iu</t>
  </si>
  <si>
    <t>1 i.u.</t>
  </si>
  <si>
    <t>Hyalgan or supartz inj dose</t>
  </si>
  <si>
    <t>J7331</t>
  </si>
  <si>
    <t>Synojoynt, inj., 1 mg</t>
  </si>
  <si>
    <t>J7351</t>
  </si>
  <si>
    <t>Inj bimatoprost itc imp1mcg</t>
  </si>
  <si>
    <t>J9144</t>
  </si>
  <si>
    <t>Daratumumab, hyaluronidase</t>
  </si>
  <si>
    <t>J9210</t>
  </si>
  <si>
    <t>Inj., emapalumab-lzsg, 1 mg</t>
  </si>
  <si>
    <t>J9227</t>
  </si>
  <si>
    <t>Inj. isatuximab-irfc 10 mg</t>
  </si>
  <si>
    <t>Inj melpha hydroch nos 50 mg</t>
  </si>
  <si>
    <t>J9269</t>
  </si>
  <si>
    <t>Inj. tagraxofusp-erzs 10 mcg</t>
  </si>
  <si>
    <t>J9281</t>
  </si>
  <si>
    <t>Mitomycin instillation</t>
  </si>
  <si>
    <t>Inj. pemetrexed nos 10mg</t>
  </si>
  <si>
    <t>J9313</t>
  </si>
  <si>
    <t>Inj., lumoxiti, 0.01 mg</t>
  </si>
  <si>
    <t>Sacituzumab govitecan-hziy</t>
  </si>
  <si>
    <t>Q5121</t>
  </si>
  <si>
    <t>Inj. avsola, 10 mg</t>
  </si>
  <si>
    <t>J1437</t>
  </si>
  <si>
    <t>Inj. fe derisomaltose 10 mg</t>
  </si>
  <si>
    <t>J1554</t>
  </si>
  <si>
    <t>Inj. asceniv</t>
  </si>
  <si>
    <t>J1951</t>
  </si>
  <si>
    <t>Inj fensolvi 0.25 mg</t>
  </si>
  <si>
    <t>Factor viia recomb novoseven</t>
  </si>
  <si>
    <t>J7212</t>
  </si>
  <si>
    <t>Factor viia recomb sevenfact</t>
  </si>
  <si>
    <t>J7402</t>
  </si>
  <si>
    <t>Mometasone sinus sinuva</t>
  </si>
  <si>
    <t>J9037</t>
  </si>
  <si>
    <t>Inj belantamab mafodont blmf</t>
  </si>
  <si>
    <t>J9198</t>
  </si>
  <si>
    <t>Inj. infugem, 100 mg</t>
  </si>
  <si>
    <t>J9223</t>
  </si>
  <si>
    <t>Inj. lurbinectedin, 0.1 mg</t>
  </si>
  <si>
    <t>J9316</t>
  </si>
  <si>
    <t>Pertuzu, trastuzu, 10 mg</t>
  </si>
  <si>
    <t>J9349</t>
  </si>
  <si>
    <t>Inj., tafasitamab-cxix</t>
  </si>
  <si>
    <t>Q4163</t>
  </si>
  <si>
    <t>Woundex, bioskin, per sq cm</t>
  </si>
  <si>
    <t>Q4187</t>
  </si>
  <si>
    <t>Epicord 1 sq cm</t>
  </si>
  <si>
    <t>Q5122</t>
  </si>
  <si>
    <t>Inj, nyvepria</t>
  </si>
  <si>
    <t>Q5123</t>
  </si>
  <si>
    <t>Inj. riabni, 10 mg</t>
  </si>
  <si>
    <t>Rabies ig ht&amp;sol human im/sc</t>
  </si>
  <si>
    <t>PCV15 vaccine IM</t>
  </si>
  <si>
    <t>Pcv20 vaccine im</t>
  </si>
  <si>
    <t>J0172</t>
  </si>
  <si>
    <t>Inj, aducanumab-avwa, 2 mg</t>
  </si>
  <si>
    <t>J0248</t>
  </si>
  <si>
    <t>Inj, remdesivir, 1 mg</t>
  </si>
  <si>
    <t>J0741</t>
  </si>
  <si>
    <t>Inj, cabote rilpivir 2mg 3mg</t>
  </si>
  <si>
    <t>2MG/3MG</t>
  </si>
  <si>
    <t>J1201</t>
  </si>
  <si>
    <t>Inj. cetirizine hcl 0.5mg</t>
  </si>
  <si>
    <t>J1448</t>
  </si>
  <si>
    <t>Injection, trilaciclib, 1mg</t>
  </si>
  <si>
    <t>J1823</t>
  </si>
  <si>
    <t>Inj. inebilizumab-cdon, 1 mg</t>
  </si>
  <si>
    <t>J2506</t>
  </si>
  <si>
    <t>Inj pegfilgrast ex bio 0.5mg</t>
  </si>
  <si>
    <t>Inj belantamab mafodot blmf</t>
  </si>
  <si>
    <t>J9061</t>
  </si>
  <si>
    <t>Inj, amivantamab-vmjw</t>
  </si>
  <si>
    <t>J9247</t>
  </si>
  <si>
    <t>Inj, melphalan flufenami 1mg</t>
  </si>
  <si>
    <t>J9272</t>
  </si>
  <si>
    <t>Inj, dostarlimab-gxly, 10 mg</t>
  </si>
  <si>
    <t>J9319</t>
  </si>
  <si>
    <t>Inj romidepsin lyophil 0.1mg</t>
  </si>
  <si>
    <t>J9353</t>
  </si>
  <si>
    <t>Inj. margetuximab-cmkb, 5 mg</t>
  </si>
  <si>
    <t>NDC (Jan 2021)</t>
  </si>
  <si>
    <t>Redbook name (brand or generic) (Jan 2021)</t>
  </si>
  <si>
    <t>Redbook package strength (mg) (Jan 2021)</t>
  </si>
  <si>
    <t>Redbook WAC price per tablet/capsule (Jan 2021)</t>
  </si>
  <si>
    <t>Redbook WAC price per unit (Jan 2021)</t>
  </si>
  <si>
    <t>Redbook Unit (Jan 2020)2</t>
  </si>
  <si>
    <t>Redbook Unit (Jul 2021)</t>
  </si>
  <si>
    <t>NDC (Jul 2021)</t>
  </si>
  <si>
    <t>Redbook name (brand or generic) (Jul 2021)</t>
  </si>
  <si>
    <t>Redbook package strength (mg) (Jul 2021)</t>
  </si>
  <si>
    <t>Redbook WAC price per tablet/capsule (Jul 2021)</t>
  </si>
  <si>
    <t>Redbook WAC price per unit (Jul 2021)</t>
  </si>
  <si>
    <t>NDC (Jan 2022)</t>
  </si>
  <si>
    <t>Redbook name (brand or generic) (Jan 2022)</t>
  </si>
  <si>
    <t>Redbook package strength (mg) (Jan 2022)</t>
  </si>
  <si>
    <t>Redbook WAC price per tablet/capsule (Jan 2022)</t>
  </si>
  <si>
    <t>Redbook WAC price per unit (Jan 2022)</t>
  </si>
  <si>
    <t>Redbook Unit (Jan 2022)</t>
  </si>
  <si>
    <t>Lapatinib</t>
  </si>
  <si>
    <t>68180-0801-36</t>
  </si>
  <si>
    <t>72485-0219-30</t>
  </si>
  <si>
    <t>Erlotinib HCL</t>
  </si>
  <si>
    <t>50419-0391-01</t>
  </si>
  <si>
    <t>00469-0725-60</t>
  </si>
  <si>
    <t>42388-0023-26</t>
  </si>
  <si>
    <t>70700-0162-01</t>
  </si>
  <si>
    <t>10370-0268-01</t>
  </si>
  <si>
    <t>64380-0970-25</t>
  </si>
  <si>
    <t>50742-0181-30</t>
  </si>
  <si>
    <t>16729-0035-16</t>
  </si>
  <si>
    <t>16729-0034-15</t>
  </si>
  <si>
    <t>Lorbena</t>
  </si>
  <si>
    <t>Unusual case where the highest strength package is also the most expensive per mg. Instead, pulled price for cheapest per mg package. See package descriptions here: https://www.xpoviopro.com/assets/pdf/mm/XPOVIO_Fact_Sheet.pdf</t>
  </si>
  <si>
    <t>Pull from Piqray 300MG daily dose</t>
  </si>
  <si>
    <t>00074-0576-34</t>
  </si>
  <si>
    <t>73116-0102-06</t>
  </si>
  <si>
    <t>59572-0504-00</t>
  </si>
  <si>
    <t>68382-0915-06</t>
  </si>
  <si>
    <t>Abiraterone</t>
  </si>
  <si>
    <t>68462-0792-01</t>
  </si>
  <si>
    <t>00093-2203-01</t>
  </si>
  <si>
    <t>pulled WAC for highest  volume sold in mg</t>
  </si>
  <si>
    <t>59572-0410-28</t>
  </si>
  <si>
    <t>Sunitinib</t>
  </si>
  <si>
    <t>63304-0093-27</t>
  </si>
  <si>
    <t>WAC price pulled for highest volume sold, generic</t>
  </si>
  <si>
    <t>Pralsetinib PO</t>
  </si>
  <si>
    <t>Gavreto</t>
  </si>
  <si>
    <t>50242-0210-60</t>
  </si>
  <si>
    <t>Isatuximab IV</t>
  </si>
  <si>
    <t>Avapritinib PO</t>
  </si>
  <si>
    <t>72064-0130-30</t>
  </si>
  <si>
    <t>Ayvakit</t>
  </si>
  <si>
    <t>Ripretinib PO</t>
  </si>
  <si>
    <t>73207-0101-30</t>
  </si>
  <si>
    <t>Qinlock</t>
  </si>
  <si>
    <t>Belantamab mafodotin IV</t>
  </si>
  <si>
    <t>pulled WAC price for Q12021, ASP available Q32021</t>
  </si>
  <si>
    <t>Lurbinectedin IV</t>
  </si>
  <si>
    <t>Hep b vac 3ag 10mcg 3 dos im</t>
  </si>
  <si>
    <t>J0491</t>
  </si>
  <si>
    <t>Inj anifrolumab-fnia 1mg</t>
  </si>
  <si>
    <t>J2406</t>
  </si>
  <si>
    <t>Injection, oritavancin 10 mg</t>
  </si>
  <si>
    <t>J9021</t>
  </si>
  <si>
    <t>Inj, aspara, rylaze, 0.1 mg</t>
  </si>
  <si>
    <t>J9359</t>
  </si>
  <si>
    <t>Inj lon tesirin-lpyl 0.075mg</t>
  </si>
  <si>
    <t>0.075 MG</t>
  </si>
  <si>
    <t>J0219</t>
  </si>
  <si>
    <t>Inj aval alfa-nqpt 4mg</t>
  </si>
  <si>
    <t>J1551</t>
  </si>
  <si>
    <t>Inj cutaquig 100 mg</t>
  </si>
  <si>
    <t>J2779</t>
  </si>
  <si>
    <t>Inj, susvimo 0.1 mg</t>
  </si>
  <si>
    <t>J7318</t>
  </si>
  <si>
    <t>Inj, durolane 1 mg</t>
  </si>
  <si>
    <t>J7320</t>
  </si>
  <si>
    <t>Genvisc 850, inj, 1mg</t>
  </si>
  <si>
    <t>J7322</t>
  </si>
  <si>
    <t>Hymovis injection 1 mg</t>
  </si>
  <si>
    <t>J7326</t>
  </si>
  <si>
    <t>Gel-one</t>
  </si>
  <si>
    <t>J7328</t>
  </si>
  <si>
    <t>Gelsyn-3 injection 0.1 mg</t>
  </si>
  <si>
    <t>J7329</t>
  </si>
  <si>
    <t>Inj, trivisc 1 mg</t>
  </si>
  <si>
    <t>J7332</t>
  </si>
  <si>
    <t>Inj., triluron, 1 mg</t>
  </si>
  <si>
    <t>J9273</t>
  </si>
  <si>
    <t>Inj tisotu vedotin-tftv, 1mg</t>
  </si>
  <si>
    <t>J9332</t>
  </si>
  <si>
    <t>Inj efgartigimod 2mg</t>
  </si>
  <si>
    <t>HCPCS code dosage 2022Q3</t>
  </si>
  <si>
    <t>HCPCS code dosage unit 2022Q3</t>
  </si>
  <si>
    <t>Payment limit 2022Q3</t>
  </si>
  <si>
    <t>pre-SC admin</t>
  </si>
  <si>
    <t>1000000 </t>
  </si>
  <si>
    <t>Payment limit per unit 2022Q32</t>
  </si>
  <si>
    <t>NDC (Jul 2022)</t>
  </si>
  <si>
    <t>Redbook name (brand or generic) (Jul 2022)</t>
  </si>
  <si>
    <t>Redbook package strength (mg) (Jul 2022)</t>
  </si>
  <si>
    <t>Redbook WAC price per tablet/capsule (Jul 2022)</t>
  </si>
  <si>
    <t>Redbook WAC price per unit (Jul 2022)</t>
  </si>
  <si>
    <t>Redbook Unit (Jul 2022)</t>
  </si>
  <si>
    <t>WAC price for highest volume NDC (59651-0300-30) unavailable for Jul-21, Jan-22, and Jul-22 updates. Pulled price for second highest volume NDC</t>
  </si>
  <si>
    <t>68382-0209-06</t>
  </si>
  <si>
    <t>00555-0607-02</t>
  </si>
  <si>
    <t>35573-0433-02</t>
  </si>
  <si>
    <t>59651-0241-30</t>
  </si>
  <si>
    <t>00078-1077-66</t>
  </si>
  <si>
    <t>63020-0080-01</t>
  </si>
  <si>
    <t>00093-2203-05</t>
  </si>
  <si>
    <t>WAC price pulled for NDC change in Jan 2022 and Jul 2022 based on highest volume sold for highest strength sold</t>
  </si>
  <si>
    <t>69784-0610-25</t>
  </si>
  <si>
    <t>NDC change in July 22 (as of July 15th, was okay to pull per AM), previous NDC expired</t>
  </si>
  <si>
    <t>HCPCS Code 2022Q3</t>
  </si>
  <si>
    <t>Cemiplimab-rwlc IV</t>
  </si>
  <si>
    <t>Melphalan Flufenamide</t>
  </si>
  <si>
    <t>pulled WAC price for Q32021, pulled from market in October '21</t>
  </si>
  <si>
    <t>Tepotinib PO</t>
  </si>
  <si>
    <t>44087-5000-03</t>
  </si>
  <si>
    <t>Tepmekto</t>
  </si>
  <si>
    <t>pulled WAC price for Q32021, ASP unavailable (Nov '22)</t>
  </si>
  <si>
    <t>Idecabtagene vicleucel</t>
  </si>
  <si>
    <t>Docetaxel intravesical</t>
  </si>
  <si>
    <t>Gemcitabine intravesical</t>
  </si>
  <si>
    <t>Epirubicin intravesical</t>
  </si>
  <si>
    <t>Mitomycin intravesical</t>
  </si>
  <si>
    <t>Valrubicin intravesical</t>
  </si>
  <si>
    <t>BCG intravesical</t>
  </si>
  <si>
    <t>Relugolix PO</t>
  </si>
  <si>
    <t>72974-0120-01</t>
  </si>
  <si>
    <t>Orgovyx</t>
  </si>
  <si>
    <t>Payment Allowance Limits for Medicare Part B Drugs</t>
  </si>
  <si>
    <t>Effective January 1, 2023 through March 31, 2023</t>
  </si>
  <si>
    <r>
      <rPr>
        <b/>
        <sz val="12"/>
        <color indexed="8"/>
        <rFont val="Arial"/>
        <family val="2"/>
      </rPr>
      <t>Note 1:</t>
    </r>
    <r>
      <rPr>
        <sz val="12"/>
        <color indexed="8"/>
        <rFont val="Arial"/>
        <family val="2"/>
      </rPr>
      <t xml:space="preserve"> Payment allowance limits subject to the ASP methodology are based on 3Q22 ASP data.</t>
    </r>
  </si>
  <si>
    <r>
      <rPr>
        <b/>
        <sz val="12"/>
        <color indexed="8"/>
        <rFont val="Arial"/>
        <family val="2"/>
      </rPr>
      <t>Note 2:</t>
    </r>
    <r>
      <rPr>
        <sz val="12"/>
        <color indexed="8"/>
        <rFont val="Arial"/>
        <family val="2"/>
      </rPr>
      <t xml:space="preserve"> The absence or presence of a HCPCS code and the payment allowance limits in this table does not indicate whether Medicare covers a drug.  These determinations shall be made by the local Medicare contractor processing the claim.</t>
    </r>
  </si>
  <si>
    <t>Vaccine AWP%</t>
  </si>
  <si>
    <t>Vaccine Limit</t>
  </si>
  <si>
    <t>Blood AWP%</t>
  </si>
  <si>
    <t>Blood limit</t>
  </si>
  <si>
    <t>Clotting Factor</t>
  </si>
  <si>
    <t>see the Seasonal Influenza Vaccines Pricing webpage for current payment limits and effective dates</t>
  </si>
  <si>
    <t xml:space="preserve">see the Seasonal Influenza Vaccines Pricing webpage for current payment limits and effective dates </t>
  </si>
  <si>
    <t>Hep b vacc, adol, 2 dose, im</t>
  </si>
  <si>
    <t>microCurie 100% AWP = $176.640
microCurie 100% WAC = $147.200</t>
  </si>
  <si>
    <t>"lesser of" methodology applied</t>
  </si>
  <si>
    <t>J0131</t>
  </si>
  <si>
    <t>Inj, acetaminophen (nos)</t>
  </si>
  <si>
    <t>Added January 2023</t>
  </si>
  <si>
    <t>J0134</t>
  </si>
  <si>
    <t>Inj acetaminophen -fresenius</t>
  </si>
  <si>
    <t>J0136</t>
  </si>
  <si>
    <t>Inj, acetaminophen (b braun)</t>
  </si>
  <si>
    <t>J0224</t>
  </si>
  <si>
    <t>Inj. lumasiran, 0.5 mg</t>
  </si>
  <si>
    <t>Calcium glucon (fresenius)</t>
  </si>
  <si>
    <t>J0611</t>
  </si>
  <si>
    <t>Calcium glucon (wg critical)</t>
  </si>
  <si>
    <t>J0689</t>
  </si>
  <si>
    <t>Inj cefazolin sodium, baxter</t>
  </si>
  <si>
    <t>J0701</t>
  </si>
  <si>
    <t>Inj. cefepime hcl (baxter)</t>
  </si>
  <si>
    <t>J0703</t>
  </si>
  <si>
    <t>Inj, cefepime hcl (b braun)</t>
  </si>
  <si>
    <t>J0877</t>
  </si>
  <si>
    <t>Inj, daptomycin (hospira)</t>
  </si>
  <si>
    <t>J0891</t>
  </si>
  <si>
    <t>Argatroban nonesrd (accord)</t>
  </si>
  <si>
    <t>J0892</t>
  </si>
  <si>
    <t>Argatroban dialysis (accord)</t>
  </si>
  <si>
    <t>J0893</t>
  </si>
  <si>
    <t>Inj, decitabine (sun pharma)</t>
  </si>
  <si>
    <t>J0898</t>
  </si>
  <si>
    <t>Argatroban nonesrd (auromed)</t>
  </si>
  <si>
    <t>J0899</t>
  </si>
  <si>
    <t>Argatroban dialysis, auromed</t>
  </si>
  <si>
    <t>J1305</t>
  </si>
  <si>
    <t>Inj, evinacumab-dgnb, 5mg</t>
  </si>
  <si>
    <t>J1306</t>
  </si>
  <si>
    <t>Injection, inclisiran, 1 mg</t>
  </si>
  <si>
    <t>J1611</t>
  </si>
  <si>
    <t>Inj glucagon hcl, fresenius</t>
  </si>
  <si>
    <t>J1738</t>
  </si>
  <si>
    <t>Inj. meloxicam 1 mg</t>
  </si>
  <si>
    <t>J1932</t>
  </si>
  <si>
    <t>Inj, lanreotide, (cipla) 1mg</t>
  </si>
  <si>
    <t>Aripiprazole lauroxil 1 mg</t>
  </si>
  <si>
    <t>J1952</t>
  </si>
  <si>
    <t>Leuprolide inj, camcevi, 1mg</t>
  </si>
  <si>
    <t>1 mg</t>
  </si>
  <si>
    <t>J2021</t>
  </si>
  <si>
    <t>Inj, linezolid (hospira)</t>
  </si>
  <si>
    <t>J2184</t>
  </si>
  <si>
    <t>Inj, meropenem (b. braun)</t>
  </si>
  <si>
    <t>J2247</t>
  </si>
  <si>
    <t>Inj, micafungin (par pharm)</t>
  </si>
  <si>
    <t>J2251</t>
  </si>
  <si>
    <t>Inj midazolam (wg crit care)</t>
  </si>
  <si>
    <t>J2272</t>
  </si>
  <si>
    <t>Inj, morphine (fresenius)</t>
  </si>
  <si>
    <t>J2281</t>
  </si>
  <si>
    <t>Inj moxifloxacin (fres kabi)</t>
  </si>
  <si>
    <t>J2327</t>
  </si>
  <si>
    <t>Inj risankizumab-rzaa 1 mg</t>
  </si>
  <si>
    <t>J2356</t>
  </si>
  <si>
    <t>Inj tezepelumab-ekko, 1mg</t>
  </si>
  <si>
    <t>J2401</t>
  </si>
  <si>
    <t>AMP-based payment limit</t>
  </si>
  <si>
    <t>J2777</t>
  </si>
  <si>
    <t>Inj, faricimab-svoa, 0.1mg</t>
  </si>
  <si>
    <t>J3299</t>
  </si>
  <si>
    <t>Inj xipere 1 mg</t>
  </si>
  <si>
    <t>J3371</t>
  </si>
  <si>
    <t>Inj, vancomycin hcl (mylan)</t>
  </si>
  <si>
    <t>J3372</t>
  </si>
  <si>
    <t>Inj, vancomycin hcl (xellia)</t>
  </si>
  <si>
    <t>Injection, bortezomib, 0.1mg</t>
  </si>
  <si>
    <t>J9046</t>
  </si>
  <si>
    <t>Inj, bortezomib, dr. reddy's</t>
  </si>
  <si>
    <t>J9048</t>
  </si>
  <si>
    <t>Inj, bortezomib freseniuskab</t>
  </si>
  <si>
    <t>J9049</t>
  </si>
  <si>
    <t>Inj, bortezomib, hospira</t>
  </si>
  <si>
    <t>J9071</t>
  </si>
  <si>
    <t>Inj cyclophosphamd auromedic</t>
  </si>
  <si>
    <t>J9118</t>
  </si>
  <si>
    <t>Inj. calaspargase pegol-mknl</t>
  </si>
  <si>
    <t>10 UNIT</t>
  </si>
  <si>
    <t>J9246</t>
  </si>
  <si>
    <t>Inj., evomela, 1 mg</t>
  </si>
  <si>
    <t>J9274</t>
  </si>
  <si>
    <t>Inj, tebentafusp-tebn, 1 mcg</t>
  </si>
  <si>
    <t>J9298</t>
  </si>
  <si>
    <t>Inj nivol relatlimab 3mg/1mg</t>
  </si>
  <si>
    <t>3 mg/1 mg</t>
  </si>
  <si>
    <t>J9304</t>
  </si>
  <si>
    <t>Inj. pemetrexed, 10 mg</t>
  </si>
  <si>
    <t>J9331</t>
  </si>
  <si>
    <t>Inj sirolimus prot part 1 mg</t>
  </si>
  <si>
    <t>J9393</t>
  </si>
  <si>
    <t>Inj, fulvestrant (teva)</t>
  </si>
  <si>
    <t>J9394</t>
  </si>
  <si>
    <t>Inj, fulvestrant (fresenius)</t>
  </si>
  <si>
    <t>Q0222</t>
  </si>
  <si>
    <t>Bebtelovimab 175 mg</t>
  </si>
  <si>
    <t>175 MG</t>
  </si>
  <si>
    <t>Q4103</t>
  </si>
  <si>
    <t>Oasis burn matrix</t>
  </si>
  <si>
    <t>Q4104</t>
  </si>
  <si>
    <t>Integra bmwd</t>
  </si>
  <si>
    <t>Q4105</t>
  </si>
  <si>
    <t>Integra drt or omnigraft</t>
  </si>
  <si>
    <t>Q4108</t>
  </si>
  <si>
    <t>Integra matrix</t>
  </si>
  <si>
    <t>Q4114</t>
  </si>
  <si>
    <t>Integra flowable wound matri</t>
  </si>
  <si>
    <t>Q4117</t>
  </si>
  <si>
    <t>Hyalomatrix</t>
  </si>
  <si>
    <t>Q4118</t>
  </si>
  <si>
    <t>Matristem micromatrix</t>
  </si>
  <si>
    <t>Q4123</t>
  </si>
  <si>
    <t>Q4124</t>
  </si>
  <si>
    <t>Oasis tri-layer wound matrix</t>
  </si>
  <si>
    <t>Q4126</t>
  </si>
  <si>
    <t>Memoderm/derma/tranz/integup</t>
  </si>
  <si>
    <t>Q4127</t>
  </si>
  <si>
    <t>Talymed</t>
  </si>
  <si>
    <t>Q4128</t>
  </si>
  <si>
    <t>Flexhd/allopatchhd/sq cm</t>
  </si>
  <si>
    <t>Q4143</t>
  </si>
  <si>
    <t>Repriza, 1cm</t>
  </si>
  <si>
    <t>Q4150</t>
  </si>
  <si>
    <t>Allowrap ds or dry 1 sq cm</t>
  </si>
  <si>
    <t>Q4152</t>
  </si>
  <si>
    <t>Dermapure 1 square cm</t>
  </si>
  <si>
    <t>Q4153</t>
  </si>
  <si>
    <t>Dermavest, plurivest sq cm</t>
  </si>
  <si>
    <t>Q4161</t>
  </si>
  <si>
    <t>Bio-connekt per square cm</t>
  </si>
  <si>
    <t>Q4171</t>
  </si>
  <si>
    <t>Interfyl, 1 mg</t>
  </si>
  <si>
    <t>Q4175</t>
  </si>
  <si>
    <t>Miroderm</t>
  </si>
  <si>
    <t>Q4176</t>
  </si>
  <si>
    <t>Neopatch or therion, 1 sq cm</t>
  </si>
  <si>
    <t>Q4180</t>
  </si>
  <si>
    <t>Revita, per sq cm</t>
  </si>
  <si>
    <t>Q4197</t>
  </si>
  <si>
    <t>Puraply xt 1 sq cm</t>
  </si>
  <si>
    <t>Q4199</t>
  </si>
  <si>
    <t>Cygnus matrix, per sq cm</t>
  </si>
  <si>
    <t>Q4201</t>
  </si>
  <si>
    <t>Matrion 1 sq cm</t>
  </si>
  <si>
    <t>Q4203</t>
  </si>
  <si>
    <t>Derma-gide, 1 sq cm</t>
  </si>
  <si>
    <t>Q4210</t>
  </si>
  <si>
    <t>Axolotl graf dualgraf sq cm</t>
  </si>
  <si>
    <t>Q4227</t>
  </si>
  <si>
    <t>Amniocore per sq cm</t>
  </si>
  <si>
    <t>Q4231</t>
  </si>
  <si>
    <t>Corplex p, per cc</t>
  </si>
  <si>
    <t>Q4232</t>
  </si>
  <si>
    <t>Corplex, per sq cm</t>
  </si>
  <si>
    <t>Q4235</t>
  </si>
  <si>
    <t>Amniorepair or altiply sq cm</t>
  </si>
  <si>
    <t>Q4244</t>
  </si>
  <si>
    <t>Procenta, per 200 mg</t>
  </si>
  <si>
    <t>Q4246</t>
  </si>
  <si>
    <t>Coretext or protext, per cc</t>
  </si>
  <si>
    <t>Q4247</t>
  </si>
  <si>
    <t>Amniotext patch, per sq cm</t>
  </si>
  <si>
    <t>Q4248</t>
  </si>
  <si>
    <t>Dermacyte amn mem allo sq cm</t>
  </si>
  <si>
    <t>Q4252</t>
  </si>
  <si>
    <t>Vendaje, per square centimet</t>
  </si>
  <si>
    <t>Q4254</t>
  </si>
  <si>
    <t>Novafix dl per sq cm</t>
  </si>
  <si>
    <t>Q4258</t>
  </si>
  <si>
    <t>Enverse, per sq cm</t>
  </si>
  <si>
    <t>8% of reference add-on applied</t>
  </si>
  <si>
    <t>Q5124</t>
  </si>
  <si>
    <t>Inj. byooviz, 0.1 mg</t>
  </si>
  <si>
    <t>Added January 2023
8% of reference add-on applied</t>
  </si>
  <si>
    <t>Payment limit per unit 2023Q1</t>
  </si>
  <si>
    <t>HCPCS Code 2023Q1</t>
  </si>
  <si>
    <t>HCPCS code dosage 2023Q1</t>
  </si>
  <si>
    <t>HCPCS code dosage unit 2023Q1</t>
  </si>
  <si>
    <t>Payment limit 2023Q1</t>
  </si>
  <si>
    <t/>
  </si>
  <si>
    <t>microCurie</t>
  </si>
  <si>
    <t>EACH</t>
  </si>
  <si>
    <t>GM</t>
  </si>
  <si>
    <t>MCG</t>
  </si>
  <si>
    <t>NDC (Jan 2023)</t>
  </si>
  <si>
    <t>Redbook name (brand or generic) (Jan 2023)</t>
  </si>
  <si>
    <t>Redbook package strength (mg) (Jan 2023)</t>
  </si>
  <si>
    <t>Redbook WAC price per tablet/capsule (Jan 2023)</t>
  </si>
  <si>
    <t>Redbook WAC price per unit (Jan 2023)</t>
  </si>
  <si>
    <t>Redbook Unit (Jan 2023)</t>
  </si>
  <si>
    <t>00378-1201-78</t>
  </si>
  <si>
    <t>Sorafenib tosylate</t>
  </si>
  <si>
    <t>sorafenib tosylate; pulled generic NDC for JAN '23 (sold most units)</t>
  </si>
  <si>
    <t>63020-0400-02</t>
  </si>
  <si>
    <t>00069-0193-01</t>
  </si>
  <si>
    <t>00078-1112-15</t>
  </si>
  <si>
    <t>00078-0708-51</t>
  </si>
  <si>
    <t>JCODE Changed (J9041) JAN '23</t>
  </si>
  <si>
    <t>Orgovyk</t>
  </si>
  <si>
    <t>form is in SGL (capsule according to Bloomberg)</t>
  </si>
  <si>
    <t>42806-0011-05</t>
  </si>
  <si>
    <t>72205-0050-30</t>
  </si>
  <si>
    <t>00904-6195-46</t>
  </si>
  <si>
    <t>62756-0511-83</t>
  </si>
  <si>
    <t>59762-2858-01</t>
  </si>
  <si>
    <t>72205-0082-30</t>
  </si>
  <si>
    <t>59676-0604-30</t>
  </si>
  <si>
    <t>00073 is higher dose/lower price and sooner active date</t>
  </si>
  <si>
    <t>00310-3512-60</t>
  </si>
  <si>
    <t>00074-0576-30</t>
  </si>
  <si>
    <t>Flu vacc iiv4 no preserv id</t>
  </si>
  <si>
    <t>0.2 ml</t>
  </si>
  <si>
    <t>Riv3 vaccine no preserv im</t>
  </si>
  <si>
    <t>Hepb vacc 2 dose adolesc im</t>
  </si>
  <si>
    <t>Ampicillin sodium per 1.5 gm</t>
  </si>
  <si>
    <t>Cosyntropin cortrosyn inj</t>
  </si>
  <si>
    <t>Inj milrinone lactate / 5 MG</t>
  </si>
  <si>
    <t>In morphine preservativ free</t>
  </si>
  <si>
    <t>J2355</t>
  </si>
  <si>
    <t>Oprelvekin injection</t>
  </si>
  <si>
    <t>J2410</t>
  </si>
  <si>
    <t>Oxymorphone hcl injection</t>
  </si>
  <si>
    <t>J2850</t>
  </si>
  <si>
    <t>Inj secretin synthetic human</t>
  </si>
  <si>
    <t>Fentanyl citrate injeciton</t>
  </si>
  <si>
    <t>Inj, taliglucerace alfa 10 u</t>
  </si>
  <si>
    <t>Hyalgan/supartz inj per dose</t>
  </si>
  <si>
    <t>Netupitant palonosetron oral</t>
  </si>
  <si>
    <t>Bortezomib injection</t>
  </si>
  <si>
    <t>J9310</t>
  </si>
  <si>
    <t>Rituximab injection</t>
  </si>
  <si>
    <t>Q2037</t>
  </si>
  <si>
    <t>Fluvirin vacc, 3 yrs &amp; &gt;, im</t>
  </si>
  <si>
    <t>Q4116</t>
  </si>
  <si>
    <t>Alloderm</t>
  </si>
  <si>
    <t>Q4131</t>
  </si>
  <si>
    <t>Epifix or epicord</t>
  </si>
  <si>
    <t>Grafix core</t>
  </si>
  <si>
    <t>Grafix prime</t>
  </si>
  <si>
    <t>Inj filgrastim gcsf biosimil</t>
  </si>
  <si>
    <t>Q5102</t>
  </si>
  <si>
    <t>Inj., infliximab biosimilar</t>
  </si>
  <si>
    <t>Q9989</t>
  </si>
  <si>
    <t>Ustekinumab IV Inj, 1 mg</t>
  </si>
  <si>
    <t>HCPCS code 2017 Q3</t>
  </si>
  <si>
    <t>HCPCS code dosage 2017Q3</t>
  </si>
  <si>
    <t>HCPCS code dosage unit 2017Q3</t>
  </si>
  <si>
    <t>Payment limit per unit 2017Q3</t>
  </si>
  <si>
    <t>NEW</t>
  </si>
  <si>
    <t>Payment Limit 2017Q3</t>
  </si>
  <si>
    <t>NDC (Jul 2017)</t>
  </si>
  <si>
    <t>Redbook name (brand or generic) (Jul 2017)</t>
  </si>
  <si>
    <t>Redbook WAC price per tablet/capsule (Jul 2017)</t>
  </si>
  <si>
    <t>Redbook WAC price per unit (Jul 2017)</t>
  </si>
  <si>
    <t>Redbook Unit (Jul 2017)</t>
  </si>
  <si>
    <t>Redbook package strength (mg) (Jul 2017)</t>
  </si>
  <si>
    <t>For Jul 2017, pulled WAC from 01/04/18 (first available AWP)</t>
  </si>
  <si>
    <t>WAC price pulled for NDC change in Jan 2022 based on highest volume sold for highest strength sold; WAC pulled for brand in Jul 2017 as that was the highest units sold</t>
  </si>
  <si>
    <t>Sorafenib</t>
  </si>
  <si>
    <t>Pull prices for tablet manufactured from Takeda. Ariad pharma tablets not sold in recent years according to bloomberg ; Jul 2017 pulled WAC from Takeda, looked at deactivated Ariad NDC and WAC is the same as Takeda's for 2017</t>
  </si>
  <si>
    <t>00378-0274-93</t>
  </si>
  <si>
    <t>00093-7536-56</t>
  </si>
  <si>
    <t>47781-0108-30</t>
  </si>
  <si>
    <t>68462-0536-70</t>
  </si>
  <si>
    <t>pulled WAC for highest volume sold in mg (happens to be a brand for 2017)</t>
  </si>
  <si>
    <t>Historic AWP unavailable prior to May 201</t>
  </si>
  <si>
    <t>HCPCS code 2017 Q1</t>
  </si>
  <si>
    <t>HCPCS code dosage 2017Q1</t>
  </si>
  <si>
    <t>HCPCS code dosage unit 2017Q1</t>
  </si>
  <si>
    <t>Payment Limit 2017Q1</t>
  </si>
  <si>
    <t>Payment limit per unit 2017Q1</t>
  </si>
  <si>
    <t>J0135</t>
  </si>
  <si>
    <t>Adalimumab injection</t>
  </si>
  <si>
    <t>Dolasetron mesylate oral</t>
  </si>
  <si>
    <t>A9583</t>
  </si>
  <si>
    <t>Gadofosveset trisodium inj</t>
  </si>
  <si>
    <t>J3303</t>
  </si>
  <si>
    <t>Triamcinolone hexacetonl inj</t>
  </si>
  <si>
    <t>HCPCS code 2016 Q1</t>
  </si>
  <si>
    <t>HCPCS code dosage 2016Q1</t>
  </si>
  <si>
    <t>HCPCS code dosage unit 2016Q1</t>
  </si>
  <si>
    <t>Payment Limit 2016Q1</t>
  </si>
  <si>
    <t>Payment limit per unit 2016Q1</t>
  </si>
  <si>
    <t>HCPCS code 2016 Q3</t>
  </si>
  <si>
    <t>HCPCS code dosage 2016Q3</t>
  </si>
  <si>
    <t>HCPCS code dosage unit 2016Q3</t>
  </si>
  <si>
    <t>Payment Limit 2016Q3</t>
  </si>
  <si>
    <t>Payment limit per unit 2016Q3</t>
  </si>
  <si>
    <t>Hep b ig, im</t>
  </si>
  <si>
    <t>Rabies ig, im/sc</t>
  </si>
  <si>
    <t>Rabies ig, heat treated</t>
  </si>
  <si>
    <t>Bcg vaccine, percut</t>
  </si>
  <si>
    <t>Bcg vaccine, intravesical</t>
  </si>
  <si>
    <t>IIV4 Vacc no prsv 3 yrs+ id</t>
  </si>
  <si>
    <t>Hep a vaccine, adult im</t>
  </si>
  <si>
    <t>Flu vaccine no preserv 3 yo &amp; &gt;, im</t>
  </si>
  <si>
    <t>0.50 ML</t>
  </si>
  <si>
    <t>Flu vaccine, 6-35 mo, im</t>
  </si>
  <si>
    <t>Flu vaccine, no preserv, 3 +, im, cell cultures</t>
  </si>
  <si>
    <t>Flu vacc prsv free inc antig</t>
  </si>
  <si>
    <t>Pneumococcal vacc, 13 val im</t>
  </si>
  <si>
    <t>Flu vaccine 4 valent nasal</t>
  </si>
  <si>
    <t>Flu vacc riv3 no preserv</t>
  </si>
  <si>
    <t>Rabies vaccine, im</t>
  </si>
  <si>
    <t>Flu vac no prsv 4 val 6-35 m</t>
  </si>
  <si>
    <t>Flu vac no prsv 4 val 3 yrs+</t>
  </si>
  <si>
    <t>Flu vaccine, 6-35 mon, IM, 4 val</t>
  </si>
  <si>
    <t>Flu vaccine, 3 +, IM, 4 val</t>
  </si>
  <si>
    <t>Typhoid vaccine, im</t>
  </si>
  <si>
    <t>Td vaccine no prsrv &gt;/= 7 yo, im</t>
  </si>
  <si>
    <t>Tdap =&gt; 7 yo, im</t>
  </si>
  <si>
    <t>Pneumococcal vaccine</t>
  </si>
  <si>
    <t>Hepb vacc, ill pat 3 dose im</t>
  </si>
  <si>
    <t>Hepb vacc ped/adol 3 dose im</t>
  </si>
  <si>
    <t>Hep b vaccine, adult, im</t>
  </si>
  <si>
    <t>Hepb vacc, ill pat 4 dose im</t>
  </si>
  <si>
    <t>Inj gadoterate meglumi</t>
  </si>
  <si>
    <t>Gad-base MR contrast NOS,1ml</t>
  </si>
  <si>
    <t>Aflibercept injection (ophthalmic)</t>
  </si>
  <si>
    <t>Injection, Alemtuzumab</t>
  </si>
  <si>
    <t>J0220</t>
  </si>
  <si>
    <t>Alglucosidase alfa injection</t>
  </si>
  <si>
    <t>Aminophyllin 250 MG inj</t>
  </si>
  <si>
    <t>Amphotericin B</t>
  </si>
  <si>
    <t>Ampicillin 500 MG inj</t>
  </si>
  <si>
    <t>J0400</t>
  </si>
  <si>
    <t>Aripiprazole injection</t>
  </si>
  <si>
    <t>Inj aripriprazole ext rel 1mg</t>
  </si>
  <si>
    <t>Baclofen 10 MG injection</t>
  </si>
  <si>
    <t>PenG benzathine/procaine inj</t>
  </si>
  <si>
    <t>Injection,onabotulinumtoxinA</t>
  </si>
  <si>
    <t>AbobotulinumtoxinA</t>
  </si>
  <si>
    <t>Inj, rimabotulinumtoxinB</t>
  </si>
  <si>
    <t>Incobotulinumtoxin A</t>
  </si>
  <si>
    <t>Inj mepivacaine HCL/10 ml</t>
  </si>
  <si>
    <t>Cefepime HCl for injection</t>
  </si>
  <si>
    <t>Certolizumab Pegol Inj 1mg</t>
  </si>
  <si>
    <t>Cytomegalovirus imm IV /vial</t>
  </si>
  <si>
    <t>Methylprednisolone 20 MG inj</t>
  </si>
  <si>
    <t>Methylprednisolone 40 MG inj</t>
  </si>
  <si>
    <t>Methylprednisolone 80 MG inj</t>
  </si>
  <si>
    <t>Dexrazoxane HCl injection</t>
  </si>
  <si>
    <t>Dimethyl sulfoxide 50% 50 ML</t>
  </si>
  <si>
    <t>Inj dobutamine HCL/250 mg</t>
  </si>
  <si>
    <t>Dolasetron mesylate</t>
  </si>
  <si>
    <t>Erythro lactobionate /500 MG</t>
  </si>
  <si>
    <t>Estradiol valerate 10 MG inj</t>
  </si>
  <si>
    <t>Inj estrogen conjugate 25 MG</t>
  </si>
  <si>
    <t>J1438</t>
  </si>
  <si>
    <t>Etanercept injection</t>
  </si>
  <si>
    <t>Inj IVIG privigen 500 mg</t>
  </si>
  <si>
    <t>Gamma globulin 1 CC inj</t>
  </si>
  <si>
    <t>Inj, Imm Glob Bivigam, 500mg</t>
  </si>
  <si>
    <t>Gamma globulin &gt; 10 CC inj</t>
  </si>
  <si>
    <t>Gamunex-C/Gammaked</t>
  </si>
  <si>
    <t>Glucagon hydrochloride/1 MG</t>
  </si>
  <si>
    <t>Infliximab injection</t>
  </si>
  <si>
    <t>Leuprolide acetate /3.75 MG</t>
  </si>
  <si>
    <t>Meperidine hydrochl /100 MG</t>
  </si>
  <si>
    <t>10MG</t>
  </si>
  <si>
    <t>Pamidronate disodium /30 MG</t>
  </si>
  <si>
    <t>Inj progesterone per 50 MG</t>
  </si>
  <si>
    <t>Fluphenazine decanoate 25 MG</t>
  </si>
  <si>
    <t>Inj protamine sulfate/10 MG</t>
  </si>
  <si>
    <t>Rho(D) immune globulin h, sd</t>
  </si>
  <si>
    <t>Ropivacaine HCl injection</t>
  </si>
  <si>
    <t>Inj theophylline per 40 MG</t>
  </si>
  <si>
    <t>Inj, Taliglucerace Alfa 10 u</t>
  </si>
  <si>
    <t>Triamcinolone A inj PRS-free</t>
  </si>
  <si>
    <t>Triamcinolone acet inj NOS</t>
  </si>
  <si>
    <t>Ustekinumab injection</t>
  </si>
  <si>
    <t>Zoledronic Acid 1mg</t>
  </si>
  <si>
    <t>Humate-P, inj</t>
  </si>
  <si>
    <t>Factor viii recombinant NOS</t>
  </si>
  <si>
    <t>Factor IX non-recombinant</t>
  </si>
  <si>
    <t>Factor IX recombinant</t>
  </si>
  <si>
    <t>Factor ix fc fusion recomb</t>
  </si>
  <si>
    <t>Inj, Ocriplasmin, 0.125 mg</t>
  </si>
  <si>
    <t>Synvisc or Synvisc-One</t>
  </si>
  <si>
    <t>Gel-One</t>
  </si>
  <si>
    <t>Tacrolimus Imme Rel oral 1mg</t>
  </si>
  <si>
    <t>Cyclophosphamide oral 25 MG</t>
  </si>
  <si>
    <t>Etoposide oral 50 MG</t>
  </si>
  <si>
    <t>Melphalan oral 2 MG</t>
  </si>
  <si>
    <t>Methotrexate oral 2.5 MG</t>
  </si>
  <si>
    <t>Bendamustine injection</t>
  </si>
  <si>
    <t>Injection, Carfilzomib, 1 mg</t>
  </si>
  <si>
    <t>Cisplatin 10 MG injection</t>
  </si>
  <si>
    <t>Inj cladribine per 1 MG</t>
  </si>
  <si>
    <t>Cyclophosphamide 100 MG inj</t>
  </si>
  <si>
    <t>Cytarabine hcl 100 MG inj</t>
  </si>
  <si>
    <t>Supprelin LA implant</t>
  </si>
  <si>
    <t>Inj melphalan hydrochl 50 MG</t>
  </si>
  <si>
    <t>Mitoxantrone hydrochl / 5 MG</t>
  </si>
  <si>
    <t>Injection, Pertuzumab, 1 mg</t>
  </si>
  <si>
    <t>Inj, Ado-trastuzumab Emt 1mg</t>
  </si>
  <si>
    <t>Vincristine sulfate 1 MG inj</t>
  </si>
  <si>
    <t>Inj, vincristine sul lip 1 mg</t>
  </si>
  <si>
    <t>Injection, Fulvestrant</t>
  </si>
  <si>
    <t>Diphenhydramine HCl 50mg</t>
  </si>
  <si>
    <t>Promethazine HCl 12.5mg oral</t>
  </si>
  <si>
    <t>Q2038</t>
  </si>
  <si>
    <t>Fluzone vacc, 3 yrs &amp; &gt;, im</t>
  </si>
  <si>
    <t>Sipuleucel-T auto CD54+</t>
  </si>
  <si>
    <t>Epoetin alfa, 100 units ESRD</t>
  </si>
  <si>
    <t>Apligraf skin sub</t>
  </si>
  <si>
    <t>Oasis wound matrix skin sub</t>
  </si>
  <si>
    <t>Integra BMWD skin sub</t>
  </si>
  <si>
    <t>Integra DRT skin sub</t>
  </si>
  <si>
    <t>Dermagraft skin sub</t>
  </si>
  <si>
    <t>Graftjacket skin sub</t>
  </si>
  <si>
    <t>Integra matrix skin sub</t>
  </si>
  <si>
    <t>Primatrix skin sub</t>
  </si>
  <si>
    <t>Gammagraft skin sub</t>
  </si>
  <si>
    <t>Cymetra allograft</t>
  </si>
  <si>
    <t>Graftjacket express allograf</t>
  </si>
  <si>
    <t>Alloderm skin sub</t>
  </si>
  <si>
    <t>Alloskin RT</t>
  </si>
  <si>
    <t>Epifix</t>
  </si>
  <si>
    <t>Inj filgrastim g-csf biosim</t>
  </si>
  <si>
    <t>HOCM &lt;=149 mg/ml iodine, 1ml</t>
  </si>
  <si>
    <t>HOCM 200-249mg/ml iodine,1ml</t>
  </si>
  <si>
    <t>HOCM 250-299mg/ml iodine,1ml</t>
  </si>
  <si>
    <t>HOCM 350-399mg/ml iodine,1ml</t>
  </si>
  <si>
    <t>LOCM 100-199mg/ml iodine,1ml</t>
  </si>
  <si>
    <t>LOCM 200-299mg/ml iodine,1ml</t>
  </si>
  <si>
    <t>LOCM 300-399mg/ml iodine,1ml</t>
  </si>
  <si>
    <t>Inj gadoterate meglumi 0.1 ml</t>
  </si>
  <si>
    <t xml:space="preserve">Aflibercept injection </t>
  </si>
  <si>
    <t>Zoledronic Acid IV</t>
  </si>
  <si>
    <t>Denosumab SUBQ</t>
  </si>
  <si>
    <t>Pamidronate IV</t>
  </si>
  <si>
    <t>54482-0053-01</t>
  </si>
  <si>
    <t>58063-0001-70</t>
  </si>
  <si>
    <t>Altretamine PO</t>
  </si>
  <si>
    <t>Hexalen</t>
  </si>
  <si>
    <t>Ustekinumab, iv inject,1 mg</t>
  </si>
  <si>
    <t>Grafix prime grafix pl prime</t>
  </si>
  <si>
    <t>Q4172</t>
  </si>
  <si>
    <t>Puraply or puraply am</t>
  </si>
  <si>
    <t>Inj Retacrit esrd on dialysi</t>
  </si>
  <si>
    <t>Inj Retacrit non-esrd use</t>
  </si>
  <si>
    <t>Q9993</t>
  </si>
  <si>
    <t>Inj., triamcinolone ext rel</t>
  </si>
  <si>
    <t>Q9995</t>
  </si>
  <si>
    <t>Inj. emicizumab-kxwh, 0.5 mg</t>
  </si>
  <si>
    <t xml:space="preserve">microCurie 100% AWP = $154.670
microCurie 100% WAC = $128.890
</t>
  </si>
  <si>
    <t xml:space="preserve">microCurie 100% AWP = $151.630
microCurie 100% WAC = $126.360
</t>
  </si>
  <si>
    <t xml:space="preserve">microCurie 100% AWP = $158.220
microCurie 100% WAC = $131.850
</t>
  </si>
  <si>
    <t xml:space="preserve">
microCurie 100% AWP = $158.220
microCurie 100% WAC = $131.850
</t>
  </si>
  <si>
    <t>47335-0475-83</t>
  </si>
  <si>
    <t xml:space="preserve">
microCurie 100% AWP = $151.630
microCurie 100% WAC = $126.360
</t>
  </si>
  <si>
    <t>ASP unavailable before Jul 2018; used WAC that was noted instead to fill in for the ASP; ASP prices were N/A Q32022, carried over Jan 2022 payment limit</t>
  </si>
  <si>
    <t>For Q3 JUL 17, pulled Q1 2018 ASP</t>
  </si>
  <si>
    <t>For Jul 17, pulled Jul 18 ASP</t>
  </si>
  <si>
    <t>For Jul-17, pulled first available ASP (Jan 19)</t>
  </si>
  <si>
    <t>For Jul-17, pulled first available ASP (Jan 19) https://hcpcs.codes/j-codes/J1454/</t>
  </si>
  <si>
    <t>NDC (Jul 2016)</t>
  </si>
  <si>
    <t>Redbook package strength (mg) (Jan 2017)</t>
  </si>
  <si>
    <t>NDC (Jan 2017)</t>
  </si>
  <si>
    <t>Redbook name (brand or generic) Jan 2017</t>
  </si>
  <si>
    <t>Redbook WAC price per tablet/capsule (Jan 2017)</t>
  </si>
  <si>
    <t>Redbook WAC price per unit (Jan 2017)</t>
  </si>
  <si>
    <t>Redbook Unit (Jan 2017)</t>
  </si>
  <si>
    <t>Redbook name (brand or generic) (Jul 2016)</t>
  </si>
  <si>
    <t>Redbook package strength (mg) (Jul 2016)</t>
  </si>
  <si>
    <t>Redbook WAC price per tablet/capsule (Jul 2016)</t>
  </si>
  <si>
    <t>Redbook WAC price per unit (Jul 2016)</t>
  </si>
  <si>
    <t>Redbook Unit (Jul 2016)</t>
  </si>
  <si>
    <t>NDC (Jan 2016)</t>
  </si>
  <si>
    <t>Redbook name (brand or generic) (Jan 2016)</t>
  </si>
  <si>
    <t>Redbook package strength (mg) (Jan 2016)</t>
  </si>
  <si>
    <t>Redbook WAC price per tablet/capsule (Jan 2016)</t>
  </si>
  <si>
    <t>Redbook WAC price per unit (Jan 2016)</t>
  </si>
  <si>
    <t>Redbook Unit (Jan 2016)</t>
  </si>
  <si>
    <t>00173-0752-00</t>
  </si>
  <si>
    <t>00173-0847-08</t>
  </si>
  <si>
    <t>dosage increase in Jan 2023</t>
  </si>
  <si>
    <t>WAC is based on form is in SGL until dosage increase to 80 mg</t>
  </si>
  <si>
    <t xml:space="preserve">NDC pulled for first available price </t>
  </si>
  <si>
    <t>Cabometyx and Cometriq come in different oral formulations and are used to treat different types of cancer. We pull Cabometyx price because it is used to treat the cancers included in the included guidelines. https://www.drugs.com/medical-answers/difference-between-cabometyx-cometriq-3064803/
First available WAC pulled (4/25/2016)</t>
  </si>
  <si>
    <t>WAC price for highest volume NDC unavailable for Jul-21 update. Pulled price for second highest volume NDC; pulled price for second highest volume in units sold for Jan 16</t>
  </si>
  <si>
    <t>00378-0261-01</t>
  </si>
  <si>
    <t>00093-0220-56</t>
  </si>
  <si>
    <t>00173-0848-13</t>
  </si>
  <si>
    <t>00168-0432-24</t>
  </si>
  <si>
    <t>Necitumumab IV</t>
  </si>
  <si>
    <t>pulled WAC price for Q12016, ASP unavailable</t>
  </si>
  <si>
    <t>Vorinostat PO</t>
  </si>
  <si>
    <t>00006-0568-40</t>
  </si>
  <si>
    <t>Zolinza</t>
  </si>
  <si>
    <t xml:space="preserve">Anastrozole </t>
  </si>
  <si>
    <t>Exemstane</t>
  </si>
  <si>
    <t>Gilotrib</t>
  </si>
  <si>
    <t>76388-0635-50</t>
  </si>
  <si>
    <t>00173-0804-09</t>
  </si>
  <si>
    <t>Thalidomid</t>
  </si>
  <si>
    <t>first available WAC pulled for Q1, Q3 2016, Q1 Q3 2017</t>
  </si>
  <si>
    <t>Cotellilc</t>
  </si>
  <si>
    <t>Vincristine PUMP</t>
  </si>
  <si>
    <t>Interferon IV</t>
  </si>
  <si>
    <t xml:space="preserve">microCurie 100% AWP = $145.180
microCurie 100% WAC = $120.980
</t>
  </si>
  <si>
    <t>entered market in Mar 2017- pulled first available price 2016-2018</t>
  </si>
  <si>
    <t>69656-0103-90</t>
  </si>
  <si>
    <t>Dasatinib</t>
  </si>
  <si>
    <t>00078-0526-87</t>
  </si>
  <si>
    <t>HCPCS code 2018 Q1</t>
  </si>
  <si>
    <t>HCPCS code dosage 2018 Q1</t>
  </si>
  <si>
    <t>HCPCS code dosage unit 2018 Q1</t>
  </si>
  <si>
    <t>Payment Limit 2018 Q1</t>
  </si>
  <si>
    <t>Payment limit per unit 2018 Q1</t>
  </si>
  <si>
    <t>Payment limit per unit 2018 Q3</t>
  </si>
  <si>
    <t>HCPCS code 2018 Q3</t>
  </si>
  <si>
    <t>HCPCS code dosage 2018 Q3</t>
  </si>
  <si>
    <t>HCPCS code dosage unit 2018 Q3</t>
  </si>
  <si>
    <t>Payment Limit 2018 Q3</t>
  </si>
  <si>
    <t>NDC (Jan 2018)</t>
  </si>
  <si>
    <t>Redbook name (brand or generic) (Jan 2018)</t>
  </si>
  <si>
    <t>Redbook package strength (mg) (Jan 2018)</t>
  </si>
  <si>
    <t>Redbook WAC price per tablet/capsule (Jan 2018)</t>
  </si>
  <si>
    <t>Redbook WAC price per unit (Jan 2018)</t>
  </si>
  <si>
    <t>Redbook Unit (Jan 2018)</t>
  </si>
  <si>
    <t>NDC (Jul 2018)</t>
  </si>
  <si>
    <t>Redbook name (brand or generic) (Jul 2018)</t>
  </si>
  <si>
    <t>Redbook package strength (mg) (Jul 2018)</t>
  </si>
  <si>
    <t>Redbook WAC price per tablet/capsule (Jul 2018)</t>
  </si>
  <si>
    <t>Redbook WAC price per unit (Jul 2018)</t>
  </si>
  <si>
    <t>Redbook Unit (Jul 2018)</t>
  </si>
  <si>
    <t>51862-0450-30</t>
  </si>
  <si>
    <t>69543-0374-10</t>
  </si>
  <si>
    <t>43598-0349-01</t>
  </si>
  <si>
    <t>Thalidomide</t>
  </si>
  <si>
    <t>Ibrutinib (140) PO</t>
  </si>
  <si>
    <t>Ibrutinib (420) PO</t>
  </si>
  <si>
    <t>Ibrutinib (560) PO</t>
  </si>
  <si>
    <t xml:space="preserve">Key: 
Blue - change from brand to generic price
Yellow - change in NDC used to calculate price
Green - both a change from brand to generic and change in NDC
Red NDC - deactivated NDC (prior to Jan 2019) </t>
  </si>
  <si>
    <t>57962-0140-12</t>
  </si>
  <si>
    <t>57962-0420-28</t>
  </si>
  <si>
    <t>calculated price per mg 140, then multiplied by three as AM confirmed 420 is appropriate for CLL (calculated until Jan 2018, 420 mg becomes available in Feb 2018)</t>
  </si>
  <si>
    <t>Dostarlimab IV</t>
  </si>
  <si>
    <t>Amivantamab IV</t>
  </si>
  <si>
    <t>Mobocertinib PO</t>
  </si>
  <si>
    <t>63020-0040-12</t>
  </si>
  <si>
    <t>EXKIVITY</t>
  </si>
  <si>
    <t>LUMAKRAS</t>
  </si>
  <si>
    <t>55513-0504-50</t>
  </si>
  <si>
    <t>Sotorasib PO</t>
  </si>
  <si>
    <t>Jan 22: first available WAC from 3/13/23</t>
  </si>
  <si>
    <t>Asciminib PO</t>
  </si>
  <si>
    <t>00078-1196-20</t>
  </si>
  <si>
    <t>SCEMBLIX</t>
  </si>
  <si>
    <t>Jan 22: first available WAC from 6/20/24</t>
  </si>
  <si>
    <t>Peginterferon alfa-2a SUBQ</t>
  </si>
  <si>
    <t>82154-0449-01</t>
  </si>
  <si>
    <t>Pegasys</t>
  </si>
  <si>
    <t>Interferon alfa-2a SUBQ</t>
  </si>
  <si>
    <t>00004-2017-07</t>
  </si>
  <si>
    <t>Roferon-A</t>
  </si>
  <si>
    <t>Peginterferon alfa-2b SUBQ</t>
  </si>
  <si>
    <t>00085-1370-02</t>
  </si>
  <si>
    <t>Pegintron</t>
  </si>
  <si>
    <t>https://hcpcs.codes/j-codes/J8655/ , due to the overall weight of the drug we will be using 300 mg as the dosage</t>
  </si>
  <si>
    <t>TERMINATION DATE 12/31/2021; https://hcpcs.codes/j-codes/J2505/; new code starting in 22Q1 is J2506, excludes biosimilars</t>
  </si>
  <si>
    <t>Fulphila SUBQ</t>
  </si>
  <si>
    <t>Udenyca SUBQ</t>
  </si>
  <si>
    <t>Ziextenzo SUBQ</t>
  </si>
  <si>
    <t>Nyvepria SUBQ</t>
  </si>
  <si>
    <t>Tazemetostat PO</t>
  </si>
  <si>
    <t>72607-0100-00</t>
  </si>
  <si>
    <t>TAZVERIK</t>
  </si>
  <si>
    <t>Brexucabtagene autoleucel IV</t>
  </si>
  <si>
    <t>Tafasitamab IV</t>
  </si>
  <si>
    <t>Azacitidine PO</t>
  </si>
  <si>
    <t>ONUREG</t>
  </si>
  <si>
    <t>59572-0740-14</t>
  </si>
  <si>
    <t>59572-0740-07</t>
  </si>
  <si>
    <t>Jul 21: new NDC as old one was deactivated</t>
  </si>
  <si>
    <t>Decitabine IV</t>
  </si>
  <si>
    <t>Azacitidine IV</t>
  </si>
  <si>
    <t>Cytarabine SUBQ</t>
  </si>
  <si>
    <t>Azacitidine SUBQ</t>
  </si>
  <si>
    <t>Ivosidenib PO</t>
  </si>
  <si>
    <t>TIBSOVO</t>
  </si>
  <si>
    <t>71334-0100-01</t>
  </si>
  <si>
    <t>72694-0617-60</t>
  </si>
  <si>
    <t>Jul 22: new NDC as old one was deactivated</t>
  </si>
  <si>
    <t>Umbralisib PO</t>
  </si>
  <si>
    <t>73150-0200-12</t>
  </si>
  <si>
    <t>UKONIQ</t>
  </si>
  <si>
    <t>Lisocabtagene maraleucel IV</t>
  </si>
  <si>
    <t>https://ashpublications.org/bloodadvances/article/8/2/484/506783/Cost-effectiveness-of-second-line-lisocabtagene , coincides with WAC as well (Jul 2021)</t>
  </si>
  <si>
    <t>Loncastuximab tesirine IV</t>
  </si>
  <si>
    <t>Selumetinib PO</t>
  </si>
  <si>
    <t>KOSELUGO</t>
  </si>
  <si>
    <t>00310-0625-60</t>
  </si>
  <si>
    <t>Teniposide IV</t>
  </si>
  <si>
    <t>TENIPOSIDE</t>
  </si>
  <si>
    <t>44567-0507-01</t>
  </si>
  <si>
    <t>pulled WAC in Jan 2021, Jul 2021</t>
  </si>
  <si>
    <t>Infigratinib PO</t>
  </si>
  <si>
    <t>72730-0111-01</t>
  </si>
  <si>
    <t>TRUSELTIQ 100MG DAILY DOSEPAK</t>
  </si>
  <si>
    <t>Classification</t>
  </si>
  <si>
    <t>CAR-T</t>
  </si>
  <si>
    <t>Anti-CD20</t>
  </si>
  <si>
    <t>Redbook name (brand or generic) (Jan 2017)</t>
  </si>
  <si>
    <t>Redbook Unit (Jan 2021)</t>
  </si>
  <si>
    <t>NDC (Jul 2023)</t>
  </si>
  <si>
    <t>Redbook name (brand or generic) (Jul 2023)</t>
  </si>
  <si>
    <t>Redbook WAC price per unit (Jul 2023)</t>
  </si>
  <si>
    <t>Redbook Unit (Jul 2023)</t>
  </si>
  <si>
    <t>SEE "CAR-T therapies, etc" TAB FOR PRICING</t>
  </si>
  <si>
    <t>00078-0846-19</t>
  </si>
  <si>
    <t>KYMRIAH</t>
  </si>
  <si>
    <t>FLAT PRICE</t>
  </si>
  <si>
    <t>Two NDCs exist; 846-19 is for 2*10^8 strength, 958-19 is 6*10^8 strength. Bloomberg states 846-19 was used most often</t>
  </si>
  <si>
    <t>71287-0119-01</t>
  </si>
  <si>
    <t>YESCARTA</t>
  </si>
  <si>
    <t>Two NDCs exist; went with 0119-01 because prices exist for longer duration and they have the same WAC for 11/04/2024</t>
  </si>
  <si>
    <t>68152-0103-03</t>
  </si>
  <si>
    <t>ZEVALIN Y-90</t>
  </si>
  <si>
    <t>72893-0007-04</t>
  </si>
  <si>
    <t>Deactivated NDC in Jul 20, new NDC in Jan 21</t>
  </si>
  <si>
    <t>59572-0515-03</t>
  </si>
  <si>
    <t>ABECMA</t>
  </si>
  <si>
    <t>Three NDCs exist and they differ by the ML amount in the "Add'l description" in RED BOOK, all having the same price. Chose the one with largest ML value as Bloomberg had no information</t>
  </si>
  <si>
    <t>71287-0219-01</t>
  </si>
  <si>
    <t>TECARTUS</t>
  </si>
  <si>
    <t>Two NDCs exist; 0219-01 is for 2*10^6 strength, 0220-01 is for 1*10^6 strength. Chose higher strength as Bloomberg had no information</t>
  </si>
  <si>
    <t>73153-0900-01</t>
  </si>
  <si>
    <t>BREYANZI</t>
  </si>
  <si>
    <t>Chose NDC with available WAC</t>
  </si>
  <si>
    <t>Price w/ reimbursement rate (Jan 2018)</t>
  </si>
  <si>
    <t>Price w/ reimbursement rate (Jul 2018)</t>
  </si>
  <si>
    <t>Price w/ reimbursement rate (Jan 2019)</t>
  </si>
  <si>
    <t>Price w/ reimbursement rate (Jul 2019)</t>
  </si>
  <si>
    <t>Price w/ reimbursement rate (Jan 2020)</t>
  </si>
  <si>
    <t>Price w/ reimbursement rate (Jul 2020)</t>
  </si>
  <si>
    <t>Price w/ reimbursement rate (Jan 2021)</t>
  </si>
  <si>
    <t>Price w/ reimbursement rate (Jul 2021)</t>
  </si>
  <si>
    <t>Price w/ reimbursement rate (Jan 2022)</t>
  </si>
  <si>
    <t>Price w/ reimbursement rate (Jul 2022)</t>
  </si>
  <si>
    <t>Price w/ reimbursement rate (Jan 2023)</t>
  </si>
  <si>
    <t>Price w/ reimbursement rate (Jul 2023)</t>
  </si>
  <si>
    <t>HCPCS code (Jan 2016)</t>
  </si>
  <si>
    <t>Q2042</t>
  </si>
  <si>
    <t>Q2041</t>
  </si>
  <si>
    <t>Q2055</t>
  </si>
  <si>
    <t>Q2053</t>
  </si>
  <si>
    <t>Q2054</t>
  </si>
  <si>
    <t>HCPCS code (Jul 2016)</t>
  </si>
  <si>
    <t>HCPCS code (Jan 2017)</t>
  </si>
  <si>
    <t>HCPCS code (Jul 2017)</t>
  </si>
  <si>
    <t>HCPCS code (Jan 2018)</t>
  </si>
  <si>
    <t>HCPCS code (Jul 2018)</t>
  </si>
  <si>
    <t>HCPCS code (Jan 2019)</t>
  </si>
  <si>
    <t>HCPCS code (Jul 2019)</t>
  </si>
  <si>
    <t>HCPCS code (Jan 2020)</t>
  </si>
  <si>
    <t>HCPCS code (Jul 2020)</t>
  </si>
  <si>
    <t>HCPCS code (Jan 2021)</t>
  </si>
  <si>
    <t>HCPCS code (Jul 2021)</t>
  </si>
  <si>
    <t>HCPCS code (Jan 2022)</t>
  </si>
  <si>
    <t>HCPCS code (Jul 2022)</t>
  </si>
  <si>
    <t>HCPCS code (Jan 2023)</t>
  </si>
  <si>
    <t>HCPCS code (Jul 2023)</t>
  </si>
  <si>
    <t>POST-SC ADMIN PRICE</t>
  </si>
  <si>
    <t>cells/kg</t>
  </si>
  <si>
    <t>HCPCS code exists but price does not, use WAC instead</t>
  </si>
  <si>
    <t>IL-2</t>
  </si>
  <si>
    <t>PROLEUKIN</t>
  </si>
  <si>
    <t>IU</t>
  </si>
  <si>
    <t>Price w/ reimbursement rate (Jan 2016)</t>
  </si>
  <si>
    <t>Price w/ reimbursement rate (Jul 2016)</t>
  </si>
  <si>
    <t>65483-0116-07</t>
  </si>
  <si>
    <t>Price w/ reimbursement rate (Jan 2017)</t>
  </si>
  <si>
    <t>Price w/ reimbursement rate (Jul 2017)</t>
  </si>
  <si>
    <t>76310-0022-01</t>
  </si>
  <si>
    <t>NDC change</t>
  </si>
  <si>
    <t>Olaratumab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</si>
</sst>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164" formatCode="0.000"/>
    <numFmt numFmtId="165" formatCode="&quot;$&quot;#,##0.000"/>
    <numFmt numFmtId="166" formatCode="&quot;$&quot;#,##0.00"/>
  </numFmts>
  <fonts count="29" x14ac:knownFonts="1">
    <font>
      <sz val="11"/>
      <color theme="1"/>
      <name val="Calibri"/>
      <family val="2"/>
      <scheme val="minor"/>
    </font>
    <font>
      <b/>
      <sz val="11"/>
      <color rgb="FFFFFFFF"/>
      <name val="Calibri"/>
      <family val="2"/>
    </font>
    <font>
      <sz val="11"/>
      <color rgb="FF000000"/>
      <name val="Calibri"/>
      <family val="2"/>
    </font>
    <font>
      <sz val="10"/>
      <color theme="1"/>
      <name val="Arial"/>
      <family val="2"/>
    </font>
    <font>
      <sz val="10"/>
      <name val="Arial"/>
      <family val="2"/>
    </font>
    <font>
      <sz val="10"/>
      <name val="MS Sans Serif"/>
      <family val="2"/>
    </font>
    <font>
      <sz val="9"/>
      <name val="Arial"/>
      <family val="2"/>
    </font>
    <font>
      <u/>
      <sz val="11"/>
      <color theme="10"/>
      <name val="Calibri"/>
      <family val="2"/>
      <scheme val="minor"/>
    </font>
    <font>
      <b/>
      <sz val="12"/>
      <color theme="0"/>
      <name val="Calibri"/>
      <family val="2"/>
    </font>
    <font>
      <sz val="12"/>
      <color theme="1"/>
      <name val="Calibri"/>
      <family val="2"/>
    </font>
    <font>
      <u/>
      <sz val="12"/>
      <color theme="10"/>
      <name val="Calibri"/>
      <family val="2"/>
    </font>
    <font>
      <b/>
      <sz val="9"/>
      <color indexed="81"/>
      <name val="Tahoma"/>
      <family val="2"/>
    </font>
    <font>
      <sz val="9"/>
      <color indexed="81"/>
      <name val="Tahoma"/>
      <family val="2"/>
    </font>
    <font>
      <sz val="12"/>
      <color theme="1"/>
      <name val="Calibri"/>
      <family val="2"/>
    </font>
    <font>
      <u/>
      <sz val="11"/>
      <color theme="10"/>
      <name val="Calibri"/>
      <family val="2"/>
    </font>
    <font>
      <b/>
      <sz val="14"/>
      <color theme="1"/>
      <name val="Calibri"/>
      <family val="2"/>
      <scheme val="minor"/>
    </font>
    <font>
      <sz val="11"/>
      <name val="Calibri"/>
      <family val="2"/>
      <scheme val="minor"/>
    </font>
    <font>
      <sz val="11"/>
      <color theme="0"/>
      <name val="Calibri"/>
      <family val="2"/>
      <scheme val="minor"/>
    </font>
    <font>
      <sz val="10"/>
      <color theme="0"/>
      <name val="Arial"/>
      <family val="2"/>
    </font>
    <font>
      <sz val="11"/>
      <color theme="1"/>
      <name val="Calibri"/>
      <family val="2"/>
      <scheme val="minor"/>
    </font>
    <font>
      <sz val="8"/>
      <name val="Calibri"/>
      <family val="2"/>
      <scheme val="minor"/>
    </font>
    <font>
      <b/>
      <sz val="10"/>
      <color theme="0"/>
      <name val="Arial"/>
      <family val="2"/>
    </font>
    <font>
      <sz val="11"/>
      <name val="Calibri"/>
      <family val="2"/>
    </font>
    <font>
      <b/>
      <sz val="12"/>
      <color indexed="8"/>
      <name val="Arial"/>
      <family val="2"/>
    </font>
    <font>
      <sz val="12"/>
      <color indexed="8"/>
      <name val="Arial"/>
      <family val="2"/>
    </font>
    <font>
      <sz val="11"/>
      <color rgb="FFFF0000"/>
      <name val="Calibri"/>
      <family val="2"/>
      <scheme val="minor"/>
    </font>
    <font>
      <sz val="9"/>
      <color indexed="81"/>
      <name val="Tahoma"/>
      <charset val="1"/>
    </font>
    <font>
      <b/>
      <sz val="9"/>
      <color indexed="81"/>
      <name val="Tahoma"/>
      <charset val="1"/>
    </font>
    <font>
      <b/>
      <sz val="11"/>
      <color theme="0"/>
      <name val="Calibri"/>
      <family val="2"/>
    </font>
  </fonts>
  <fills count="19">
    <fill>
      <patternFill patternType="none"/>
    </fill>
    <fill>
      <patternFill patternType="gray125"/>
    </fill>
    <fill>
      <patternFill patternType="solid">
        <fgColor rgb="FF002060"/>
        <bgColor indexed="64"/>
      </patternFill>
    </fill>
    <fill>
      <patternFill patternType="solid">
        <fgColor rgb="FF581175"/>
        <bgColor indexed="64"/>
      </patternFill>
    </fill>
    <fill>
      <patternFill patternType="solid">
        <fgColor rgb="FF00B0F0"/>
        <bgColor indexed="64"/>
      </patternFill>
    </fill>
    <fill>
      <patternFill patternType="solid">
        <fgColor theme="4" tint="0.79998168889431442"/>
        <bgColor indexed="64"/>
      </patternFill>
    </fill>
    <fill>
      <patternFill patternType="solid">
        <fgColor theme="6" tint="0.79998168889431442"/>
        <bgColor theme="6" tint="0.79998168889431442"/>
      </patternFill>
    </fill>
    <fill>
      <patternFill patternType="solid">
        <fgColor rgb="FF002060"/>
        <bgColor theme="4"/>
      </patternFill>
    </fill>
    <fill>
      <patternFill patternType="solid">
        <fgColor theme="9" tint="0.59999389629810485"/>
        <bgColor indexed="64"/>
      </patternFill>
    </fill>
    <fill>
      <patternFill patternType="solid">
        <fgColor rgb="FFFFFF00"/>
        <bgColor indexed="64"/>
      </patternFill>
    </fill>
    <fill>
      <patternFill patternType="solid">
        <fgColor rgb="FFFFFF00"/>
        <bgColor theme="6" tint="0.79998168889431442"/>
      </patternFill>
    </fill>
    <fill>
      <patternFill patternType="solid">
        <fgColor indexed="9"/>
        <bgColor indexed="64"/>
      </patternFill>
    </fill>
    <fill>
      <patternFill patternType="solid">
        <fgColor indexed="1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14999847407452621"/>
        <bgColor theme="0" tint="-0.14999847407452621"/>
      </patternFill>
    </fill>
    <fill>
      <patternFill patternType="solid">
        <fgColor theme="7" tint="0.79998168889431442"/>
        <bgColor indexed="64"/>
      </patternFill>
    </fill>
    <fill>
      <patternFill patternType="solid">
        <fgColor theme="4" tint="-0.249977111117893"/>
        <bgColor indexed="64"/>
      </patternFill>
    </fill>
    <fill>
      <patternFill patternType="solid">
        <fgColor rgb="FF7030A0"/>
        <bgColor indexed="64"/>
      </patternFill>
    </fill>
  </fills>
  <borders count="95">
    <border>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bottom style="thin">
        <color theme="0" tint="-0.2499465926084170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theme="6"/>
      </right>
      <top style="medium">
        <color indexed="64"/>
      </top>
      <bottom style="medium">
        <color theme="6"/>
      </bottom>
      <diagonal/>
    </border>
    <border>
      <left style="thin">
        <color theme="6"/>
      </left>
      <right style="thin">
        <color theme="6"/>
      </right>
      <top style="thin">
        <color theme="6"/>
      </top>
      <bottom style="medium">
        <color theme="6"/>
      </bottom>
      <diagonal/>
    </border>
    <border>
      <left style="thin">
        <color theme="6"/>
      </left>
      <right style="thin">
        <color indexed="64"/>
      </right>
      <top style="thin">
        <color theme="6"/>
      </top>
      <bottom style="thin">
        <color theme="6"/>
      </bottom>
      <diagonal/>
    </border>
    <border>
      <left style="thin">
        <color theme="6"/>
      </left>
      <right/>
      <top/>
      <bottom/>
      <diagonal/>
    </border>
    <border>
      <left style="thin">
        <color theme="6"/>
      </left>
      <right/>
      <top style="thin">
        <color theme="6"/>
      </top>
      <bottom style="medium">
        <color theme="6"/>
      </bottom>
      <diagonal/>
    </border>
    <border>
      <left style="thin">
        <color theme="6"/>
      </left>
      <right/>
      <top style="thin">
        <color theme="6"/>
      </top>
      <bottom style="thin">
        <color theme="6"/>
      </bottom>
      <diagonal/>
    </border>
    <border>
      <left style="thin">
        <color theme="6"/>
      </left>
      <right style="thin">
        <color indexed="64"/>
      </right>
      <top style="thin">
        <color theme="6"/>
      </top>
      <bottom/>
      <diagonal/>
    </border>
    <border>
      <left style="thin">
        <color theme="6"/>
      </left>
      <right/>
      <top style="thin">
        <color theme="6"/>
      </top>
      <bottom/>
      <diagonal/>
    </border>
    <border>
      <left/>
      <right style="thin">
        <color theme="6"/>
      </right>
      <top style="thin">
        <color theme="6"/>
      </top>
      <bottom style="thin">
        <color theme="6"/>
      </bottom>
      <diagonal/>
    </border>
    <border>
      <left/>
      <right style="thin">
        <color theme="6"/>
      </right>
      <top style="thin">
        <color theme="6"/>
      </top>
      <bottom/>
      <diagonal/>
    </border>
    <border>
      <left style="thin">
        <color theme="6"/>
      </left>
      <right style="medium">
        <color indexed="64"/>
      </right>
      <top style="thin">
        <color theme="6"/>
      </top>
      <bottom style="medium">
        <color theme="6"/>
      </bottom>
      <diagonal/>
    </border>
    <border>
      <left/>
      <right/>
      <top/>
      <bottom style="thin">
        <color theme="6"/>
      </bottom>
      <diagonal/>
    </border>
    <border>
      <left/>
      <right style="thin">
        <color theme="6"/>
      </right>
      <top style="thin">
        <color theme="6"/>
      </top>
      <bottom style="medium">
        <color theme="6"/>
      </bottom>
      <diagonal/>
    </border>
    <border>
      <left style="medium">
        <color indexed="64"/>
      </left>
      <right style="thin">
        <color theme="6"/>
      </right>
      <top style="thin">
        <color theme="6"/>
      </top>
      <bottom style="medium">
        <color theme="6"/>
      </bottom>
      <diagonal/>
    </border>
    <border>
      <left style="thin">
        <color theme="6"/>
      </left>
      <right style="medium">
        <color indexed="64"/>
      </right>
      <top style="thin">
        <color theme="6"/>
      </top>
      <bottom style="thin">
        <color theme="6"/>
      </bottom>
      <diagonal/>
    </border>
    <border>
      <left style="medium">
        <color indexed="64"/>
      </left>
      <right/>
      <top/>
      <bottom/>
      <diagonal/>
    </border>
    <border>
      <left style="thin">
        <color theme="6"/>
      </left>
      <right style="medium">
        <color indexed="64"/>
      </right>
      <top style="thin">
        <color theme="6"/>
      </top>
      <bottom/>
      <diagonal/>
    </border>
    <border>
      <left/>
      <right style="medium">
        <color indexed="64"/>
      </right>
      <top style="thin">
        <color theme="6"/>
      </top>
      <bottom style="medium">
        <color theme="6"/>
      </bottom>
      <diagonal/>
    </border>
    <border>
      <left style="medium">
        <color indexed="64"/>
      </left>
      <right/>
      <top/>
      <bottom style="thin">
        <color theme="6"/>
      </bottom>
      <diagonal/>
    </border>
    <border>
      <left/>
      <right style="medium">
        <color indexed="64"/>
      </right>
      <top/>
      <bottom style="thin">
        <color theme="6"/>
      </bottom>
      <diagonal/>
    </border>
    <border>
      <left style="medium">
        <color indexed="64"/>
      </left>
      <right/>
      <top style="medium">
        <color indexed="64"/>
      </top>
      <bottom style="medium">
        <color theme="6"/>
      </bottom>
      <diagonal/>
    </border>
    <border>
      <left/>
      <right/>
      <top style="thin">
        <color theme="6"/>
      </top>
      <bottom style="medium">
        <color theme="6"/>
      </bottom>
      <diagonal/>
    </border>
    <border>
      <left/>
      <right/>
      <top style="thin">
        <color theme="6"/>
      </top>
      <bottom style="thin">
        <color theme="6"/>
      </bottom>
      <diagonal/>
    </border>
    <border>
      <left/>
      <right/>
      <top style="thin">
        <color theme="6"/>
      </top>
      <bottom/>
      <diagonal/>
    </border>
    <border>
      <left style="medium">
        <color indexed="64"/>
      </left>
      <right/>
      <top style="thin">
        <color theme="6"/>
      </top>
      <bottom style="medium">
        <color theme="6"/>
      </bottom>
      <diagonal/>
    </border>
    <border>
      <left style="medium">
        <color indexed="64"/>
      </left>
      <right/>
      <top style="thin">
        <color theme="6"/>
      </top>
      <bottom style="thin">
        <color theme="6"/>
      </bottom>
      <diagonal/>
    </border>
    <border>
      <left style="medium">
        <color indexed="64"/>
      </left>
      <right/>
      <top style="thin">
        <color theme="6"/>
      </top>
      <bottom/>
      <diagonal/>
    </border>
    <border>
      <left style="medium">
        <color indexed="64"/>
      </left>
      <right/>
      <top style="thin">
        <color indexed="64"/>
      </top>
      <bottom style="thin">
        <color theme="6"/>
      </bottom>
      <diagonal/>
    </border>
    <border>
      <left/>
      <right/>
      <top style="thin">
        <color indexed="64"/>
      </top>
      <bottom style="thin">
        <color theme="6"/>
      </bottom>
      <diagonal/>
    </border>
    <border>
      <left/>
      <right style="medium">
        <color indexed="64"/>
      </right>
      <top style="thin">
        <color indexed="64"/>
      </top>
      <bottom style="thin">
        <color theme="6"/>
      </bottom>
      <diagonal/>
    </border>
    <border>
      <left/>
      <right style="medium">
        <color indexed="64"/>
      </right>
      <top style="thin">
        <color theme="6"/>
      </top>
      <bottom style="thin">
        <color theme="6"/>
      </bottom>
      <diagonal/>
    </border>
    <border>
      <left/>
      <right style="medium">
        <color indexed="64"/>
      </right>
      <top style="thin">
        <color theme="6"/>
      </top>
      <bottom/>
      <diagonal/>
    </border>
    <border>
      <left/>
      <right style="thin">
        <color theme="6"/>
      </right>
      <top/>
      <bottom/>
      <diagonal/>
    </border>
    <border>
      <left/>
      <right style="thin">
        <color theme="6"/>
      </right>
      <top/>
      <bottom style="thin">
        <color theme="6"/>
      </bottom>
      <diagonal/>
    </border>
    <border>
      <left style="thin">
        <color theme="6"/>
      </left>
      <right style="medium">
        <color indexed="64"/>
      </right>
      <top/>
      <bottom/>
      <diagonal/>
    </border>
    <border>
      <left style="thin">
        <color theme="6"/>
      </left>
      <right/>
      <top/>
      <bottom style="medium">
        <color theme="6"/>
      </bottom>
      <diagonal/>
    </border>
    <border>
      <left style="medium">
        <color auto="1"/>
      </left>
      <right/>
      <top/>
      <bottom style="medium">
        <color theme="6"/>
      </bottom>
      <diagonal/>
    </border>
    <border>
      <left/>
      <right style="thin">
        <color theme="6"/>
      </right>
      <top/>
      <bottom style="medium">
        <color theme="6"/>
      </bottom>
      <diagonal/>
    </border>
    <border>
      <left style="medium">
        <color indexed="64"/>
      </left>
      <right style="medium">
        <color indexed="64"/>
      </right>
      <top style="thin">
        <color theme="6"/>
      </top>
      <bottom/>
      <diagonal/>
    </border>
    <border>
      <left style="thin">
        <color theme="6"/>
      </left>
      <right style="thin">
        <color theme="6"/>
      </right>
      <top style="thin">
        <color theme="6"/>
      </top>
      <bottom/>
      <diagonal/>
    </border>
    <border>
      <left style="medium">
        <color indexed="64"/>
      </left>
      <right style="medium">
        <color indexed="64"/>
      </right>
      <top style="thin">
        <color theme="6"/>
      </top>
      <bottom style="thin">
        <color theme="6"/>
      </bottom>
      <diagonal/>
    </border>
    <border>
      <left style="thin">
        <color theme="6"/>
      </left>
      <right style="thin">
        <color theme="6"/>
      </right>
      <top style="thin">
        <color theme="6"/>
      </top>
      <bottom style="thin">
        <color theme="6"/>
      </bottom>
      <diagonal/>
    </border>
    <border>
      <left/>
      <right/>
      <top/>
      <bottom style="thin">
        <color indexed="64"/>
      </bottom>
      <diagonal/>
    </border>
    <border>
      <left style="thin">
        <color theme="6"/>
      </left>
      <right style="thin">
        <color theme="6"/>
      </right>
      <top/>
      <bottom style="medium">
        <color theme="6"/>
      </bottom>
      <diagonal/>
    </border>
    <border>
      <left style="medium">
        <color auto="1"/>
      </left>
      <right style="thin">
        <color indexed="64"/>
      </right>
      <top/>
      <bottom style="medium">
        <color theme="6"/>
      </bottom>
      <diagonal/>
    </border>
    <border>
      <left/>
      <right style="thin">
        <color indexed="64"/>
      </right>
      <top/>
      <bottom/>
      <diagonal/>
    </border>
    <border>
      <left/>
      <right/>
      <top/>
      <bottom style="medium">
        <color theme="6"/>
      </bottom>
      <diagonal/>
    </border>
    <border>
      <left/>
      <right style="thin">
        <color indexed="64"/>
      </right>
      <top style="thin">
        <color theme="6"/>
      </top>
      <bottom style="thin">
        <color theme="6"/>
      </bottom>
      <diagonal/>
    </border>
    <border>
      <left/>
      <right style="thin">
        <color indexed="64"/>
      </right>
      <top style="thin">
        <color theme="6"/>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medium">
        <color indexed="64"/>
      </right>
      <top style="medium">
        <color theme="6"/>
      </top>
      <bottom/>
      <diagonal/>
    </border>
    <border>
      <left style="medium">
        <color auto="1"/>
      </left>
      <right style="medium">
        <color indexed="64"/>
      </right>
      <top/>
      <bottom style="medium">
        <color theme="6"/>
      </bottom>
      <diagonal/>
    </border>
    <border>
      <left/>
      <right/>
      <top style="thin">
        <color indexed="64"/>
      </top>
      <bottom/>
      <diagonal/>
    </border>
    <border>
      <left style="thin">
        <color indexed="64"/>
      </left>
      <right/>
      <top/>
      <bottom style="medium">
        <color theme="6"/>
      </bottom>
      <diagonal/>
    </border>
    <border>
      <left style="thin">
        <color indexed="64"/>
      </left>
      <right/>
      <top style="thin">
        <color theme="6"/>
      </top>
      <bottom style="thin">
        <color theme="6"/>
      </bottom>
      <diagonal/>
    </border>
    <border>
      <left style="thin">
        <color indexed="64"/>
      </left>
      <right/>
      <top style="thin">
        <color theme="6"/>
      </top>
      <bottom/>
      <diagonal/>
    </border>
    <border>
      <left style="thin">
        <color indexed="64"/>
      </left>
      <right/>
      <top style="thin">
        <color theme="6"/>
      </top>
      <bottom style="thin">
        <color indexed="64"/>
      </bottom>
      <diagonal/>
    </border>
    <border>
      <left/>
      <right/>
      <top style="thin">
        <color theme="6"/>
      </top>
      <bottom style="thin">
        <color indexed="64"/>
      </bottom>
      <diagonal/>
    </border>
    <border>
      <left/>
      <right style="thin">
        <color indexed="64"/>
      </right>
      <top style="thin">
        <color theme="6"/>
      </top>
      <bottom style="thin">
        <color indexed="64"/>
      </bottom>
      <diagonal/>
    </border>
    <border>
      <left/>
      <right/>
      <top style="thin">
        <color indexed="64"/>
      </top>
      <bottom style="thin">
        <color indexed="64"/>
      </bottom>
      <diagonal/>
    </border>
    <border>
      <left style="thin">
        <color indexed="64"/>
      </left>
      <right/>
      <top style="thin">
        <color indexed="64"/>
      </top>
      <bottom style="medium">
        <color theme="6"/>
      </bottom>
      <diagonal/>
    </border>
    <border>
      <left style="medium">
        <color auto="1"/>
      </left>
      <right/>
      <top style="thin">
        <color indexed="64"/>
      </top>
      <bottom style="medium">
        <color theme="6"/>
      </bottom>
      <diagonal/>
    </border>
    <border>
      <left style="medium">
        <color auto="1"/>
      </left>
      <right style="thin">
        <color indexed="64"/>
      </right>
      <top style="thin">
        <color indexed="64"/>
      </top>
      <bottom style="medium">
        <color theme="6"/>
      </bottom>
      <diagonal/>
    </border>
    <border>
      <left style="thin">
        <color theme="6"/>
      </left>
      <right style="thin">
        <color indexed="64"/>
      </right>
      <top/>
      <bottom style="medium">
        <color theme="6"/>
      </bottom>
      <diagonal/>
    </border>
    <border>
      <left style="thin">
        <color indexed="64"/>
      </left>
      <right/>
      <top/>
      <bottom/>
      <diagonal/>
    </border>
    <border>
      <left/>
      <right style="thin">
        <color indexed="64"/>
      </right>
      <top/>
      <bottom style="medium">
        <color theme="6"/>
      </bottom>
      <diagonal/>
    </border>
    <border>
      <left style="medium">
        <color indexed="64"/>
      </left>
      <right/>
      <top style="medium">
        <color indexed="64"/>
      </top>
      <bottom/>
      <diagonal/>
    </border>
    <border>
      <left style="thin">
        <color theme="1"/>
      </left>
      <right/>
      <top style="thin">
        <color theme="1"/>
      </top>
      <bottom/>
      <diagonal/>
    </border>
    <border>
      <left style="thin">
        <color theme="6"/>
      </left>
      <right/>
      <top style="thin">
        <color theme="1"/>
      </top>
      <bottom/>
      <diagonal/>
    </border>
    <border>
      <left style="medium">
        <color auto="1"/>
      </left>
      <right/>
      <top style="thin">
        <color theme="1"/>
      </top>
      <bottom/>
      <diagonal/>
    </border>
    <border>
      <left style="medium">
        <color auto="1"/>
      </left>
      <right style="thin">
        <color theme="1"/>
      </right>
      <top style="thin">
        <color theme="1"/>
      </top>
      <bottom/>
      <diagonal/>
    </border>
    <border>
      <left style="thin">
        <color theme="6"/>
      </left>
      <right/>
      <top style="medium">
        <color theme="6"/>
      </top>
      <bottom/>
      <diagonal/>
    </border>
    <border>
      <left style="thin">
        <color theme="1"/>
      </left>
      <right/>
      <top style="medium">
        <color theme="6"/>
      </top>
      <bottom/>
      <diagonal/>
    </border>
    <border>
      <left style="thin">
        <color theme="1"/>
      </left>
      <right style="medium">
        <color indexed="64"/>
      </right>
      <top style="medium">
        <color theme="6"/>
      </top>
      <bottom/>
      <diagonal/>
    </border>
    <border>
      <left style="thin">
        <color theme="1"/>
      </left>
      <right/>
      <top style="thin">
        <color theme="6"/>
      </top>
      <bottom/>
      <diagonal/>
    </border>
    <border>
      <left style="thin">
        <color theme="1"/>
      </left>
      <right style="thin">
        <color theme="1"/>
      </right>
      <top style="thin">
        <color theme="1"/>
      </top>
      <bottom/>
      <diagonal/>
    </border>
    <border>
      <left/>
      <right/>
      <top style="thin">
        <color theme="1"/>
      </top>
      <bottom/>
      <diagonal/>
    </border>
    <border>
      <left style="thin">
        <color theme="1"/>
      </left>
      <right/>
      <top/>
      <bottom/>
      <diagonal/>
    </border>
    <border>
      <left style="thin">
        <color theme="1"/>
      </left>
      <right style="thin">
        <color theme="1"/>
      </right>
      <top/>
      <bottom/>
      <diagonal/>
    </border>
  </borders>
  <cellStyleXfs count="11">
    <xf numFmtId="0" fontId="0" fillId="0" borderId="0"/>
    <xf numFmtId="0" fontId="3" fillId="0" borderId="0"/>
    <xf numFmtId="0" fontId="5" fillId="0" borderId="0"/>
    <xf numFmtId="0" fontId="7" fillId="0" borderId="0" applyNumberFormat="0" applyFill="0" applyBorder="0" applyAlignment="0" applyProtection="0"/>
    <xf numFmtId="44" fontId="19" fillId="0" borderId="0" applyFont="0" applyFill="0" applyBorder="0" applyAlignment="0" applyProtection="0"/>
    <xf numFmtId="0" fontId="4" fillId="0" borderId="0"/>
    <xf numFmtId="0" fontId="5" fillId="0" borderId="0"/>
    <xf numFmtId="0" fontId="4" fillId="0" borderId="0"/>
    <xf numFmtId="0" fontId="4" fillId="0" borderId="0"/>
    <xf numFmtId="0" fontId="5" fillId="0" borderId="0"/>
    <xf numFmtId="0" fontId="4" fillId="0" borderId="0"/>
  </cellStyleXfs>
  <cellXfs count="522">
    <xf numFmtId="0" fontId="0" fillId="0" borderId="0" xfId="0"/>
    <xf numFmtId="0" fontId="0" fillId="0" borderId="0" xfId="0" applyFill="1"/>
    <xf numFmtId="0" fontId="1" fillId="2" borderId="1" xfId="0" applyFont="1" applyFill="1" applyBorder="1" applyAlignment="1">
      <alignment vertical="center" wrapText="1"/>
    </xf>
    <xf numFmtId="0" fontId="1" fillId="2" borderId="7" xfId="0" applyFont="1" applyFill="1" applyBorder="1" applyAlignment="1">
      <alignment vertical="center" wrapText="1"/>
    </xf>
    <xf numFmtId="0" fontId="2" fillId="0" borderId="0" xfId="0" applyFont="1" applyFill="1" applyBorder="1" applyAlignment="1">
      <alignment vertical="center"/>
    </xf>
    <xf numFmtId="0" fontId="4" fillId="0" borderId="5" xfId="1" applyFont="1" applyFill="1" applyBorder="1" applyAlignment="1">
      <alignment vertical="top" wrapText="1"/>
    </xf>
    <xf numFmtId="0" fontId="9" fillId="0" borderId="9" xfId="0" applyFont="1" applyBorder="1" applyAlignment="1"/>
    <xf numFmtId="0" fontId="4" fillId="0" borderId="2" xfId="0" quotePrefix="1" applyNumberFormat="1" applyFont="1" applyFill="1" applyBorder="1" applyAlignment="1">
      <alignment horizontal="center"/>
    </xf>
    <xf numFmtId="164" fontId="3" fillId="0" borderId="2" xfId="0" applyNumberFormat="1" applyFont="1" applyFill="1" applyBorder="1" applyAlignment="1">
      <alignment horizontal="center"/>
    </xf>
    <xf numFmtId="0" fontId="4" fillId="0" borderId="2" xfId="0" quotePrefix="1" applyFont="1" applyFill="1" applyBorder="1" applyAlignment="1">
      <alignment horizontal="center"/>
    </xf>
    <xf numFmtId="0" fontId="3" fillId="0" borderId="2" xfId="0" applyFont="1" applyFill="1" applyBorder="1" applyAlignment="1">
      <alignment horizontal="center"/>
    </xf>
    <xf numFmtId="0" fontId="4" fillId="0" borderId="2" xfId="2" applyFont="1" applyFill="1" applyBorder="1" applyAlignment="1">
      <alignment horizontal="center"/>
    </xf>
    <xf numFmtId="0" fontId="4" fillId="0" borderId="3" xfId="0" quotePrefix="1" applyNumberFormat="1" applyFont="1" applyFill="1" applyBorder="1" applyAlignment="1">
      <alignment horizontal="center"/>
    </xf>
    <xf numFmtId="0" fontId="4" fillId="0" borderId="2" xfId="0" applyNumberFormat="1" applyFont="1" applyFill="1" applyBorder="1" applyAlignment="1">
      <alignment horizontal="center"/>
    </xf>
    <xf numFmtId="164" fontId="4" fillId="0" borderId="2" xfId="0" quotePrefix="1" applyNumberFormat="1" applyFont="1" applyFill="1" applyBorder="1" applyAlignment="1">
      <alignment horizontal="center"/>
    </xf>
    <xf numFmtId="0" fontId="4" fillId="0" borderId="2" xfId="0" applyFont="1" applyFill="1" applyBorder="1" applyAlignment="1">
      <alignment horizontal="center"/>
    </xf>
    <xf numFmtId="165" fontId="4" fillId="0" borderId="2" xfId="0" applyNumberFormat="1" applyFont="1" applyFill="1" applyBorder="1" applyAlignment="1">
      <alignment horizontal="center"/>
    </xf>
    <xf numFmtId="0" fontId="4" fillId="0" borderId="0" xfId="0" quotePrefix="1" applyNumberFormat="1" applyFont="1" applyFill="1" applyBorder="1" applyAlignment="1">
      <alignment horizontal="center"/>
    </xf>
    <xf numFmtId="0" fontId="3" fillId="0" borderId="2" xfId="0" applyFont="1" applyFill="1" applyBorder="1" applyAlignment="1">
      <alignment horizontal="left" wrapText="1"/>
    </xf>
    <xf numFmtId="0" fontId="0" fillId="0" borderId="0" xfId="0" applyAlignment="1">
      <alignment horizontal="left"/>
    </xf>
    <xf numFmtId="0" fontId="1" fillId="2" borderId="1" xfId="0" applyFont="1" applyFill="1" applyBorder="1" applyAlignment="1">
      <alignment horizontal="left" vertical="center" wrapText="1"/>
    </xf>
    <xf numFmtId="0" fontId="4" fillId="0" borderId="4" xfId="0" quotePrefix="1" applyNumberFormat="1" applyFont="1" applyFill="1" applyBorder="1" applyAlignment="1">
      <alignment horizontal="center"/>
    </xf>
    <xf numFmtId="0" fontId="3" fillId="0" borderId="4" xfId="0" applyFont="1" applyFill="1" applyBorder="1" applyAlignment="1">
      <alignment horizontal="left" wrapText="1"/>
    </xf>
    <xf numFmtId="164" fontId="3" fillId="0" borderId="4" xfId="0" applyNumberFormat="1" applyFont="1" applyFill="1" applyBorder="1" applyAlignment="1">
      <alignment horizontal="center"/>
    </xf>
    <xf numFmtId="0" fontId="4" fillId="0" borderId="2" xfId="1" quotePrefix="1" applyNumberFormat="1" applyFont="1" applyFill="1" applyBorder="1" applyAlignment="1">
      <alignment horizontal="center"/>
    </xf>
    <xf numFmtId="0" fontId="3" fillId="0" borderId="2" xfId="1" applyNumberFormat="1" applyFont="1" applyFill="1" applyBorder="1" applyAlignment="1">
      <alignment horizontal="left" wrapText="1"/>
    </xf>
    <xf numFmtId="164" fontId="3" fillId="0" borderId="5" xfId="1" applyNumberFormat="1" applyFont="1" applyFill="1" applyBorder="1" applyAlignment="1">
      <alignment horizontal="center"/>
    </xf>
    <xf numFmtId="164" fontId="3" fillId="0" borderId="6" xfId="1" applyNumberFormat="1" applyFont="1" applyFill="1" applyBorder="1" applyAlignment="1">
      <alignment horizontal="center"/>
    </xf>
    <xf numFmtId="164" fontId="3" fillId="0" borderId="2" xfId="1" applyNumberFormat="1" applyFont="1" applyFill="1" applyBorder="1" applyAlignment="1">
      <alignment horizontal="center"/>
    </xf>
    <xf numFmtId="0" fontId="4" fillId="0" borderId="2" xfId="1" applyNumberFormat="1" applyFont="1" applyFill="1" applyBorder="1" applyAlignment="1">
      <alignment horizontal="center"/>
    </xf>
    <xf numFmtId="0" fontId="4" fillId="0" borderId="3" xfId="1" quotePrefix="1" applyNumberFormat="1" applyFont="1" applyFill="1" applyBorder="1" applyAlignment="1">
      <alignment horizontal="center"/>
    </xf>
    <xf numFmtId="0" fontId="3" fillId="0" borderId="2" xfId="1" applyNumberFormat="1" applyFont="1" applyFill="1" applyBorder="1" applyAlignment="1">
      <alignment horizontal="center"/>
    </xf>
    <xf numFmtId="0" fontId="4" fillId="0" borderId="2" xfId="2" applyNumberFormat="1" applyFont="1" applyFill="1" applyBorder="1" applyAlignment="1">
      <alignment horizontal="center"/>
    </xf>
    <xf numFmtId="164" fontId="4" fillId="0" borderId="2" xfId="1" quotePrefix="1" applyNumberFormat="1" applyFont="1" applyFill="1" applyBorder="1" applyAlignment="1">
      <alignment horizontal="center"/>
    </xf>
    <xf numFmtId="164" fontId="4" fillId="0" borderId="5" xfId="1" quotePrefix="1" applyNumberFormat="1" applyFont="1" applyFill="1" applyBorder="1" applyAlignment="1">
      <alignment horizontal="center"/>
    </xf>
    <xf numFmtId="165" fontId="6" fillId="0" borderId="2" xfId="1" applyNumberFormat="1" applyFont="1" applyFill="1" applyBorder="1" applyAlignment="1">
      <alignment horizontal="center"/>
    </xf>
    <xf numFmtId="0" fontId="4" fillId="0" borderId="0" xfId="1" quotePrefix="1" applyNumberFormat="1" applyFont="1" applyFill="1" applyBorder="1" applyAlignment="1">
      <alignment horizontal="center"/>
    </xf>
    <xf numFmtId="0" fontId="4" fillId="0" borderId="4" xfId="1" quotePrefix="1" applyNumberFormat="1" applyFont="1" applyFill="1" applyBorder="1" applyAlignment="1">
      <alignment horizontal="center"/>
    </xf>
    <xf numFmtId="0" fontId="3" fillId="0" borderId="4" xfId="1" applyNumberFormat="1" applyFont="1" applyFill="1" applyBorder="1" applyAlignment="1">
      <alignment horizontal="left" wrapText="1"/>
    </xf>
    <xf numFmtId="164" fontId="3" fillId="0" borderId="8" xfId="1" applyNumberFormat="1" applyFont="1" applyFill="1" applyBorder="1" applyAlignment="1">
      <alignment horizontal="center"/>
    </xf>
    <xf numFmtId="164" fontId="3" fillId="0" borderId="4" xfId="1" applyNumberFormat="1" applyFont="1" applyFill="1" applyBorder="1" applyAlignment="1">
      <alignment horizontal="center"/>
    </xf>
    <xf numFmtId="0" fontId="0" fillId="0" borderId="0" xfId="0" applyFill="1" applyAlignment="1">
      <alignment horizontal="left"/>
    </xf>
    <xf numFmtId="0" fontId="0" fillId="0" borderId="2" xfId="0" applyFill="1" applyBorder="1"/>
    <xf numFmtId="0" fontId="16" fillId="0" borderId="0" xfId="3" applyFont="1" applyFill="1"/>
    <xf numFmtId="0" fontId="3" fillId="0" borderId="2" xfId="0" applyFont="1" applyFill="1" applyBorder="1" applyAlignment="1">
      <alignment horizontal="center" wrapText="1"/>
    </xf>
    <xf numFmtId="0" fontId="4" fillId="0" borderId="11" xfId="0" quotePrefix="1" applyNumberFormat="1" applyFont="1" applyFill="1" applyBorder="1" applyAlignment="1">
      <alignment horizontal="center"/>
    </xf>
    <xf numFmtId="0" fontId="3" fillId="0" borderId="11" xfId="0" applyFont="1" applyFill="1" applyBorder="1" applyAlignment="1">
      <alignment horizontal="center"/>
    </xf>
    <xf numFmtId="0" fontId="4" fillId="0" borderId="11" xfId="0" applyNumberFormat="1" applyFont="1" applyFill="1" applyBorder="1" applyAlignment="1">
      <alignment horizontal="center"/>
    </xf>
    <xf numFmtId="0" fontId="4" fillId="0" borderId="11" xfId="0" applyFont="1" applyFill="1" applyBorder="1" applyAlignment="1">
      <alignment horizontal="center"/>
    </xf>
    <xf numFmtId="164" fontId="3" fillId="0" borderId="5" xfId="0" applyNumberFormat="1" applyFont="1" applyFill="1" applyBorder="1" applyAlignment="1">
      <alignment horizontal="center"/>
    </xf>
    <xf numFmtId="0" fontId="4" fillId="0" borderId="15" xfId="0" quotePrefix="1" applyNumberFormat="1" applyFont="1" applyFill="1" applyBorder="1" applyAlignment="1">
      <alignment horizontal="center"/>
    </xf>
    <xf numFmtId="0" fontId="3" fillId="0" borderId="4" xfId="0" applyFont="1" applyFill="1" applyBorder="1" applyAlignment="1">
      <alignment horizontal="center" wrapText="1"/>
    </xf>
    <xf numFmtId="164" fontId="3" fillId="0" borderId="8" xfId="0" applyNumberFormat="1" applyFont="1" applyFill="1" applyBorder="1" applyAlignment="1">
      <alignment horizontal="center"/>
    </xf>
    <xf numFmtId="166" fontId="18" fillId="2" borderId="14" xfId="0" applyNumberFormat="1" applyFont="1" applyFill="1" applyBorder="1" applyAlignment="1">
      <alignment horizontal="center"/>
    </xf>
    <xf numFmtId="166" fontId="17" fillId="2" borderId="6" xfId="0" quotePrefix="1" applyNumberFormat="1" applyFont="1" applyFill="1" applyBorder="1" applyAlignment="1">
      <alignment horizontal="center" wrapText="1"/>
    </xf>
    <xf numFmtId="0" fontId="17" fillId="2" borderId="6" xfId="0" quotePrefix="1" applyNumberFormat="1" applyFont="1" applyFill="1" applyBorder="1" applyAlignment="1">
      <alignment horizontal="center" wrapText="1"/>
    </xf>
    <xf numFmtId="164" fontId="17" fillId="2" borderId="12" xfId="0" quotePrefix="1" applyNumberFormat="1" applyFont="1" applyFill="1" applyBorder="1" applyAlignment="1">
      <alignment horizontal="center" wrapText="1"/>
    </xf>
    <xf numFmtId="0" fontId="0" fillId="0" borderId="0" xfId="0" applyBorder="1"/>
    <xf numFmtId="44" fontId="0" fillId="0" borderId="0" xfId="4" applyFont="1" applyBorder="1"/>
    <xf numFmtId="44" fontId="0" fillId="0" borderId="0" xfId="4" applyFont="1"/>
    <xf numFmtId="0" fontId="1" fillId="2" borderId="16" xfId="0" applyFont="1" applyFill="1" applyBorder="1" applyAlignment="1">
      <alignment vertical="center" wrapText="1"/>
    </xf>
    <xf numFmtId="0" fontId="1" fillId="2" borderId="17" xfId="0" applyFont="1" applyFill="1" applyBorder="1" applyAlignment="1">
      <alignment vertical="center" wrapText="1"/>
    </xf>
    <xf numFmtId="0" fontId="2" fillId="0" borderId="18" xfId="0" applyFont="1" applyFill="1" applyBorder="1" applyAlignment="1">
      <alignment vertical="center"/>
    </xf>
    <xf numFmtId="0" fontId="1" fillId="2" borderId="20" xfId="0" applyFont="1" applyFill="1" applyBorder="1" applyAlignment="1">
      <alignment vertical="center" wrapText="1"/>
    </xf>
    <xf numFmtId="0" fontId="8" fillId="7" borderId="9" xfId="0" applyFont="1" applyFill="1" applyBorder="1"/>
    <xf numFmtId="0" fontId="8" fillId="7" borderId="10" xfId="0" applyFont="1" applyFill="1" applyBorder="1"/>
    <xf numFmtId="0" fontId="8" fillId="7" borderId="0" xfId="0" applyFont="1" applyFill="1" applyBorder="1"/>
    <xf numFmtId="0" fontId="9" fillId="0" borderId="9" xfId="0" applyFont="1" applyFill="1" applyBorder="1"/>
    <xf numFmtId="0" fontId="1" fillId="2" borderId="26" xfId="0" applyFont="1" applyFill="1" applyBorder="1" applyAlignment="1">
      <alignment vertical="center" wrapText="1"/>
    </xf>
    <xf numFmtId="0" fontId="0" fillId="0" borderId="18" xfId="0" applyFont="1" applyFill="1" applyBorder="1"/>
    <xf numFmtId="0" fontId="0" fillId="0" borderId="22" xfId="0" applyFont="1" applyFill="1" applyBorder="1"/>
    <xf numFmtId="0" fontId="1" fillId="3" borderId="26" xfId="0" applyFont="1" applyFill="1" applyBorder="1" applyAlignment="1">
      <alignment vertical="center" wrapText="1"/>
    </xf>
    <xf numFmtId="44" fontId="0" fillId="0" borderId="30" xfId="4" applyNumberFormat="1" applyFont="1" applyFill="1" applyBorder="1"/>
    <xf numFmtId="0" fontId="0" fillId="0" borderId="31" xfId="0" applyBorder="1"/>
    <xf numFmtId="0" fontId="0" fillId="0" borderId="13" xfId="0" applyBorder="1"/>
    <xf numFmtId="44" fontId="0" fillId="0" borderId="32" xfId="4" applyNumberFormat="1" applyFont="1" applyFill="1" applyBorder="1"/>
    <xf numFmtId="0" fontId="1" fillId="3" borderId="23" xfId="0" applyFont="1" applyFill="1" applyBorder="1" applyAlignment="1">
      <alignment vertical="center" wrapText="1"/>
    </xf>
    <xf numFmtId="44" fontId="0" fillId="0" borderId="19" xfId="4" applyNumberFormat="1" applyFont="1" applyFill="1" applyBorder="1"/>
    <xf numFmtId="0" fontId="1" fillId="2" borderId="33" xfId="0" applyFont="1" applyFill="1" applyBorder="1" applyAlignment="1">
      <alignment vertical="center" wrapText="1"/>
    </xf>
    <xf numFmtId="0" fontId="0" fillId="0" borderId="24" xfId="0" applyFont="1" applyFill="1" applyBorder="1"/>
    <xf numFmtId="0" fontId="7" fillId="0" borderId="24" xfId="3" applyFont="1" applyFill="1" applyBorder="1"/>
    <xf numFmtId="0" fontId="0" fillId="0" borderId="25" xfId="0" applyFont="1" applyFill="1" applyBorder="1"/>
    <xf numFmtId="0" fontId="1" fillId="2" borderId="36" xfId="0" applyFont="1" applyFill="1" applyBorder="1" applyAlignment="1">
      <alignment vertical="center" wrapText="1"/>
    </xf>
    <xf numFmtId="0" fontId="2" fillId="6" borderId="21" xfId="0" applyFont="1" applyFill="1" applyBorder="1" applyAlignment="1">
      <alignment vertical="center"/>
    </xf>
    <xf numFmtId="0" fontId="2" fillId="4" borderId="21" xfId="0" applyFont="1" applyFill="1" applyBorder="1" applyAlignment="1">
      <alignment vertical="center"/>
    </xf>
    <xf numFmtId="0" fontId="2" fillId="0" borderId="21" xfId="0" applyFont="1" applyBorder="1" applyAlignment="1">
      <alignment vertical="center"/>
    </xf>
    <xf numFmtId="0" fontId="0" fillId="6" borderId="21" xfId="0" applyFont="1" applyFill="1" applyBorder="1"/>
    <xf numFmtId="0" fontId="0" fillId="0" borderId="21" xfId="0" applyFont="1" applyBorder="1"/>
    <xf numFmtId="0" fontId="1" fillId="2" borderId="28" xfId="0" applyFont="1" applyFill="1" applyBorder="1" applyAlignment="1">
      <alignment vertical="center" wrapText="1"/>
    </xf>
    <xf numFmtId="0" fontId="1" fillId="2" borderId="29" xfId="0" applyFont="1" applyFill="1" applyBorder="1" applyAlignment="1">
      <alignment vertical="center" wrapText="1"/>
    </xf>
    <xf numFmtId="0" fontId="2" fillId="8" borderId="21" xfId="0" applyFont="1" applyFill="1" applyBorder="1" applyAlignment="1">
      <alignment vertical="center"/>
    </xf>
    <xf numFmtId="0" fontId="2" fillId="0" borderId="21" xfId="0" applyFont="1" applyFill="1" applyBorder="1" applyAlignment="1">
      <alignment vertical="center"/>
    </xf>
    <xf numFmtId="44" fontId="0" fillId="0" borderId="0" xfId="4" applyNumberFormat="1" applyFont="1" applyBorder="1"/>
    <xf numFmtId="0" fontId="4" fillId="0" borderId="11" xfId="1" quotePrefix="1" applyFont="1" applyFill="1" applyBorder="1" applyAlignment="1">
      <alignment horizontal="center"/>
    </xf>
    <xf numFmtId="0" fontId="3" fillId="0" borderId="2" xfId="1" applyFill="1" applyBorder="1" applyAlignment="1">
      <alignment horizontal="center" wrapText="1"/>
    </xf>
    <xf numFmtId="0" fontId="4" fillId="0" borderId="2" xfId="1" quotePrefix="1" applyFont="1" applyFill="1" applyBorder="1" applyAlignment="1">
      <alignment horizontal="center"/>
    </xf>
    <xf numFmtId="164" fontId="3" fillId="0" borderId="5" xfId="1" applyNumberFormat="1" applyFill="1" applyBorder="1" applyAlignment="1">
      <alignment horizontal="center"/>
    </xf>
    <xf numFmtId="0" fontId="3" fillId="0" borderId="11" xfId="1" applyFill="1" applyBorder="1" applyAlignment="1">
      <alignment horizontal="center"/>
    </xf>
    <xf numFmtId="0" fontId="4" fillId="0" borderId="3" xfId="2" applyFont="1" applyFill="1" applyBorder="1" applyAlignment="1">
      <alignment horizontal="center"/>
    </xf>
    <xf numFmtId="0" fontId="3" fillId="0" borderId="2" xfId="1" applyFill="1" applyBorder="1" applyAlignment="1">
      <alignment horizontal="center"/>
    </xf>
    <xf numFmtId="0" fontId="4" fillId="0" borderId="11" xfId="1" applyFont="1" applyFill="1" applyBorder="1" applyAlignment="1">
      <alignment horizontal="center"/>
    </xf>
    <xf numFmtId="0" fontId="4" fillId="0" borderId="2" xfId="1" applyFont="1" applyFill="1" applyBorder="1" applyAlignment="1">
      <alignment horizontal="center"/>
    </xf>
    <xf numFmtId="0" fontId="4" fillId="0" borderId="0" xfId="1" quotePrefix="1" applyFont="1" applyFill="1" applyAlignment="1">
      <alignment horizontal="center"/>
    </xf>
    <xf numFmtId="0" fontId="3" fillId="0" borderId="0" xfId="1" applyFill="1" applyAlignment="1">
      <alignment horizontal="center"/>
    </xf>
    <xf numFmtId="0" fontId="4" fillId="0" borderId="15" xfId="1" quotePrefix="1" applyFont="1" applyFill="1" applyBorder="1" applyAlignment="1">
      <alignment horizontal="center"/>
    </xf>
    <xf numFmtId="0" fontId="3" fillId="0" borderId="4" xfId="1" applyFill="1" applyBorder="1" applyAlignment="1">
      <alignment horizontal="center" wrapText="1"/>
    </xf>
    <xf numFmtId="0" fontId="4" fillId="0" borderId="4" xfId="1" quotePrefix="1" applyFont="1" applyFill="1" applyBorder="1" applyAlignment="1">
      <alignment horizontal="center"/>
    </xf>
    <xf numFmtId="164" fontId="3" fillId="0" borderId="8" xfId="1" applyNumberFormat="1" applyFill="1" applyBorder="1" applyAlignment="1">
      <alignment horizontal="center"/>
    </xf>
    <xf numFmtId="166" fontId="21" fillId="2" borderId="14" xfId="1" applyNumberFormat="1" applyFont="1" applyFill="1" applyBorder="1" applyAlignment="1">
      <alignment horizontal="center"/>
    </xf>
    <xf numFmtId="166" fontId="21" fillId="2" borderId="6" xfId="1" quotePrefix="1" applyNumberFormat="1" applyFont="1" applyFill="1" applyBorder="1" applyAlignment="1">
      <alignment horizontal="center" wrapText="1"/>
    </xf>
    <xf numFmtId="0" fontId="21" fillId="2" borderId="6" xfId="1" quotePrefix="1" applyFont="1" applyFill="1" applyBorder="1" applyAlignment="1">
      <alignment horizontal="center" wrapText="1"/>
    </xf>
    <xf numFmtId="164" fontId="21" fillId="2" borderId="12" xfId="1" quotePrefix="1" applyNumberFormat="1" applyFont="1" applyFill="1" applyBorder="1" applyAlignment="1">
      <alignment horizontal="center" wrapText="1"/>
    </xf>
    <xf numFmtId="0" fontId="1" fillId="3" borderId="37" xfId="0" applyFont="1" applyFill="1" applyBorder="1" applyAlignment="1">
      <alignment vertical="center" wrapText="1"/>
    </xf>
    <xf numFmtId="0" fontId="1" fillId="3" borderId="40" xfId="0" applyFont="1" applyFill="1" applyBorder="1" applyAlignment="1">
      <alignment vertical="center" wrapText="1"/>
    </xf>
    <xf numFmtId="0" fontId="1" fillId="3" borderId="28" xfId="0" applyFont="1" applyFill="1" applyBorder="1" applyAlignment="1">
      <alignment vertical="center" wrapText="1"/>
    </xf>
    <xf numFmtId="44" fontId="3" fillId="0" borderId="24" xfId="4" applyNumberFormat="1" applyFont="1" applyFill="1" applyBorder="1" applyAlignment="1">
      <alignment horizontal="right"/>
    </xf>
    <xf numFmtId="44" fontId="3" fillId="0" borderId="25" xfId="4" applyNumberFormat="1" applyFont="1" applyFill="1" applyBorder="1" applyAlignment="1">
      <alignment horizontal="right"/>
    </xf>
    <xf numFmtId="0" fontId="0" fillId="0" borderId="41" xfId="4" applyNumberFormat="1" applyFont="1" applyFill="1" applyBorder="1"/>
    <xf numFmtId="0" fontId="0" fillId="0" borderId="38" xfId="4" applyNumberFormat="1" applyFont="1" applyFill="1" applyBorder="1"/>
    <xf numFmtId="0" fontId="0" fillId="0" borderId="42" xfId="4" applyNumberFormat="1" applyFont="1" applyFill="1" applyBorder="1"/>
    <xf numFmtId="0" fontId="0" fillId="0" borderId="39" xfId="4" applyNumberFormat="1" applyFont="1" applyFill="1" applyBorder="1"/>
    <xf numFmtId="0" fontId="1" fillId="3" borderId="33" xfId="0" applyFont="1" applyFill="1" applyBorder="1" applyAlignment="1">
      <alignment vertical="center" wrapText="1"/>
    </xf>
    <xf numFmtId="44" fontId="0" fillId="0" borderId="46" xfId="4" applyNumberFormat="1" applyFont="1" applyFill="1" applyBorder="1"/>
    <xf numFmtId="44" fontId="0" fillId="0" borderId="47" xfId="4" applyNumberFormat="1" applyFont="1" applyFill="1" applyBorder="1"/>
    <xf numFmtId="0" fontId="0" fillId="0" borderId="41" xfId="0" applyFont="1" applyFill="1" applyBorder="1"/>
    <xf numFmtId="0" fontId="1" fillId="3" borderId="25" xfId="0" applyFont="1" applyFill="1" applyBorder="1" applyAlignment="1">
      <alignment vertical="center" wrapText="1"/>
    </xf>
    <xf numFmtId="44" fontId="0" fillId="0" borderId="48" xfId="4" applyNumberFormat="1" applyFont="1" applyFill="1" applyBorder="1"/>
    <xf numFmtId="44" fontId="0" fillId="0" borderId="49" xfId="4" applyNumberFormat="1" applyFont="1" applyFill="1" applyBorder="1"/>
    <xf numFmtId="0" fontId="1" fillId="3" borderId="40" xfId="0" applyNumberFormat="1" applyFont="1" applyFill="1" applyBorder="1" applyAlignment="1">
      <alignment vertical="center" wrapText="1"/>
    </xf>
    <xf numFmtId="0" fontId="1" fillId="3" borderId="37" xfId="0" applyNumberFormat="1" applyFont="1" applyFill="1" applyBorder="1" applyAlignment="1">
      <alignment vertical="center" wrapText="1"/>
    </xf>
    <xf numFmtId="0" fontId="0" fillId="0" borderId="0" xfId="4" applyNumberFormat="1" applyFont="1" applyFill="1" applyBorder="1"/>
    <xf numFmtId="0" fontId="0" fillId="0" borderId="0" xfId="0" applyNumberFormat="1" applyBorder="1"/>
    <xf numFmtId="44" fontId="0" fillId="0" borderId="24" xfId="4" applyNumberFormat="1" applyFont="1" applyFill="1" applyBorder="1"/>
    <xf numFmtId="0" fontId="0" fillId="0" borderId="31" xfId="4" applyNumberFormat="1" applyFont="1" applyFill="1" applyBorder="1"/>
    <xf numFmtId="0" fontId="0" fillId="0" borderId="0" xfId="0" applyAlignment="1">
      <alignment vertical="top" wrapText="1"/>
    </xf>
    <xf numFmtId="0" fontId="22" fillId="9" borderId="21" xfId="0" applyFont="1" applyFill="1" applyBorder="1" applyAlignment="1">
      <alignment vertical="center"/>
    </xf>
    <xf numFmtId="0" fontId="22" fillId="10" borderId="21" xfId="0" applyFont="1" applyFill="1" applyBorder="1" applyAlignment="1">
      <alignment vertical="center"/>
    </xf>
    <xf numFmtId="0" fontId="2" fillId="9" borderId="21" xfId="0" applyFont="1" applyFill="1" applyBorder="1" applyAlignment="1">
      <alignment vertical="center"/>
    </xf>
    <xf numFmtId="0" fontId="2" fillId="10" borderId="21" xfId="0" applyFont="1" applyFill="1" applyBorder="1" applyAlignment="1">
      <alignment vertical="center"/>
    </xf>
    <xf numFmtId="44" fontId="0" fillId="0" borderId="24" xfId="4" applyNumberFormat="1" applyFont="1" applyFill="1" applyBorder="1" applyAlignment="1">
      <alignment horizontal="right"/>
    </xf>
    <xf numFmtId="44" fontId="0" fillId="0" borderId="18" xfId="4" applyNumberFormat="1" applyFont="1" applyFill="1" applyBorder="1"/>
    <xf numFmtId="44" fontId="0" fillId="0" borderId="50" xfId="4" applyNumberFormat="1" applyFont="1" applyFill="1" applyBorder="1"/>
    <xf numFmtId="0" fontId="0" fillId="0" borderId="38" xfId="0" applyNumberFormat="1" applyFont="1" applyFill="1" applyBorder="1" applyAlignment="1">
      <alignment horizontal="right"/>
    </xf>
    <xf numFmtId="0" fontId="0" fillId="9" borderId="0" xfId="0" applyFill="1"/>
    <xf numFmtId="44" fontId="0" fillId="0" borderId="38" xfId="4" applyNumberFormat="1" applyFont="1" applyFill="1" applyBorder="1"/>
    <xf numFmtId="44" fontId="0" fillId="0" borderId="21" xfId="4" applyNumberFormat="1" applyFont="1" applyFill="1" applyBorder="1"/>
    <xf numFmtId="44" fontId="0" fillId="0" borderId="39" xfId="4" applyNumberFormat="1" applyFont="1" applyFill="1" applyBorder="1"/>
    <xf numFmtId="44" fontId="0" fillId="0" borderId="41" xfId="4" applyNumberFormat="1" applyFont="1" applyFill="1" applyBorder="1"/>
    <xf numFmtId="44" fontId="0" fillId="0" borderId="42" xfId="4" applyNumberFormat="1" applyFont="1" applyFill="1" applyBorder="1"/>
    <xf numFmtId="0" fontId="0" fillId="2" borderId="0" xfId="0" applyFill="1"/>
    <xf numFmtId="0" fontId="0" fillId="0" borderId="21" xfId="4" applyNumberFormat="1" applyFont="1" applyFill="1" applyBorder="1"/>
    <xf numFmtId="0" fontId="1" fillId="2" borderId="51" xfId="0" applyFont="1" applyFill="1" applyBorder="1" applyAlignment="1">
      <alignment vertical="center" wrapText="1"/>
    </xf>
    <xf numFmtId="0" fontId="1" fillId="2" borderId="52" xfId="0" applyFont="1" applyFill="1" applyBorder="1" applyAlignment="1">
      <alignment vertical="center" wrapText="1"/>
    </xf>
    <xf numFmtId="0" fontId="1" fillId="2" borderId="31" xfId="0" applyFont="1" applyFill="1" applyBorder="1" applyAlignment="1">
      <alignment vertical="center" wrapText="1"/>
    </xf>
    <xf numFmtId="0" fontId="1" fillId="2" borderId="19" xfId="0" applyFont="1" applyFill="1" applyBorder="1" applyAlignment="1">
      <alignment vertical="center" wrapText="1"/>
    </xf>
    <xf numFmtId="0" fontId="1" fillId="2" borderId="53" xfId="0" applyFont="1" applyFill="1" applyBorder="1" applyAlignment="1">
      <alignment vertical="center" wrapText="1"/>
    </xf>
    <xf numFmtId="0" fontId="1" fillId="2" borderId="50" xfId="0" applyFont="1" applyFill="1" applyBorder="1" applyAlignment="1">
      <alignment vertical="center" wrapText="1"/>
    </xf>
    <xf numFmtId="8" fontId="0" fillId="0" borderId="0" xfId="4" applyNumberFormat="1" applyFont="1" applyBorder="1"/>
    <xf numFmtId="0" fontId="0" fillId="0" borderId="0" xfId="0" applyFill="1" applyBorder="1"/>
    <xf numFmtId="44" fontId="0" fillId="0" borderId="54" xfId="4" applyNumberFormat="1" applyFont="1" applyFill="1" applyBorder="1"/>
    <xf numFmtId="44" fontId="0" fillId="0" borderId="25" xfId="4" applyNumberFormat="1" applyFont="1" applyFill="1" applyBorder="1"/>
    <xf numFmtId="44" fontId="0" fillId="0" borderId="22" xfId="4" applyNumberFormat="1" applyFont="1" applyFill="1" applyBorder="1"/>
    <xf numFmtId="0" fontId="16" fillId="0" borderId="0" xfId="0" quotePrefix="1" applyNumberFormat="1" applyFont="1" applyFill="1" applyBorder="1" applyAlignment="1">
      <alignment horizontal="right"/>
    </xf>
    <xf numFmtId="0" fontId="0" fillId="0" borderId="0" xfId="0" applyFont="1" applyFill="1" applyBorder="1" applyAlignment="1">
      <alignment horizontal="right"/>
    </xf>
    <xf numFmtId="0" fontId="16" fillId="0" borderId="0" xfId="0" applyNumberFormat="1" applyFont="1" applyFill="1" applyBorder="1" applyAlignment="1">
      <alignment horizontal="right"/>
    </xf>
    <xf numFmtId="0" fontId="16" fillId="0" borderId="0" xfId="0" applyFont="1" applyFill="1" applyBorder="1" applyAlignment="1">
      <alignment horizontal="right"/>
    </xf>
    <xf numFmtId="166" fontId="0" fillId="2" borderId="0" xfId="0" quotePrefix="1" applyNumberFormat="1" applyFont="1" applyFill="1" applyBorder="1" applyAlignment="1">
      <alignment horizontal="left" wrapText="1"/>
    </xf>
    <xf numFmtId="166" fontId="17" fillId="2" borderId="0" xfId="0" applyNumberFormat="1" applyFont="1" applyFill="1" applyBorder="1" applyAlignment="1">
      <alignment horizontal="left"/>
    </xf>
    <xf numFmtId="0" fontId="0" fillId="2" borderId="0" xfId="0" quotePrefix="1" applyNumberFormat="1" applyFont="1" applyFill="1" applyBorder="1" applyAlignment="1">
      <alignment horizontal="left" wrapText="1"/>
    </xf>
    <xf numFmtId="0" fontId="16" fillId="0" borderId="0" xfId="0" quotePrefix="1" applyNumberFormat="1" applyFont="1" applyFill="1" applyBorder="1" applyAlignment="1">
      <alignment horizontal="left"/>
    </xf>
    <xf numFmtId="0" fontId="16" fillId="0" borderId="0" xfId="0" quotePrefix="1" applyFont="1" applyFill="1" applyBorder="1" applyAlignment="1">
      <alignment horizontal="left"/>
    </xf>
    <xf numFmtId="0" fontId="16" fillId="0" borderId="0" xfId="0" applyNumberFormat="1" applyFont="1" applyFill="1" applyBorder="1" applyAlignment="1">
      <alignment horizontal="left"/>
    </xf>
    <xf numFmtId="0" fontId="16" fillId="0" borderId="0" xfId="6" applyFont="1" applyFill="1" applyBorder="1" applyAlignment="1">
      <alignment horizontal="left"/>
    </xf>
    <xf numFmtId="0" fontId="0" fillId="0" borderId="0" xfId="0" applyFont="1" applyFill="1" applyBorder="1" applyAlignment="1">
      <alignment horizontal="left"/>
    </xf>
    <xf numFmtId="164" fontId="16" fillId="0" borderId="0" xfId="0" quotePrefix="1" applyNumberFormat="1" applyFont="1" applyFill="1" applyBorder="1" applyAlignment="1">
      <alignment horizontal="left"/>
    </xf>
    <xf numFmtId="165" fontId="16" fillId="0" borderId="0" xfId="0" applyNumberFormat="1" applyFont="1" applyFill="1" applyBorder="1" applyAlignment="1">
      <alignment horizontal="left"/>
    </xf>
    <xf numFmtId="0" fontId="16" fillId="0" borderId="0" xfId="0" applyFont="1" applyFill="1" applyBorder="1" applyAlignment="1">
      <alignment horizontal="left"/>
    </xf>
    <xf numFmtId="164" fontId="0" fillId="2" borderId="0" xfId="0" quotePrefix="1" applyNumberFormat="1" applyFont="1" applyFill="1" applyBorder="1" applyAlignment="1">
      <alignment horizontal="left" wrapText="1"/>
    </xf>
    <xf numFmtId="164" fontId="0" fillId="0" borderId="0" xfId="0" applyNumberFormat="1" applyFont="1" applyFill="1" applyBorder="1" applyAlignment="1">
      <alignment horizontal="left"/>
    </xf>
    <xf numFmtId="44" fontId="0" fillId="0" borderId="27" xfId="4" applyNumberFormat="1" applyFont="1" applyFill="1" applyBorder="1"/>
    <xf numFmtId="0" fontId="1" fillId="3" borderId="0" xfId="0" applyFont="1" applyFill="1" applyBorder="1" applyAlignment="1">
      <alignment vertical="center" wrapText="1"/>
    </xf>
    <xf numFmtId="44" fontId="0" fillId="0" borderId="0" xfId="4" applyNumberFormat="1" applyFont="1" applyFill="1" applyBorder="1"/>
    <xf numFmtId="44" fontId="0" fillId="0" borderId="35" xfId="4" applyNumberFormat="1" applyFont="1" applyFill="1" applyBorder="1"/>
    <xf numFmtId="0" fontId="0" fillId="0" borderId="27" xfId="4" applyNumberFormat="1" applyFont="1" applyFill="1" applyBorder="1" applyAlignment="1">
      <alignment horizontal="left"/>
    </xf>
    <xf numFmtId="0" fontId="0" fillId="0" borderId="38" xfId="4" applyNumberFormat="1" applyFont="1" applyFill="1" applyBorder="1" applyAlignment="1">
      <alignment horizontal="left"/>
    </xf>
    <xf numFmtId="0" fontId="0" fillId="0" borderId="39" xfId="4" applyNumberFormat="1" applyFont="1" applyFill="1" applyBorder="1" applyAlignment="1">
      <alignment horizontal="left"/>
    </xf>
    <xf numFmtId="0" fontId="0" fillId="0" borderId="31" xfId="0" applyFill="1" applyBorder="1"/>
    <xf numFmtId="0" fontId="1" fillId="2" borderId="0" xfId="0" applyFont="1" applyFill="1" applyBorder="1" applyAlignment="1">
      <alignment vertical="center" wrapText="1"/>
    </xf>
    <xf numFmtId="0" fontId="0" fillId="0" borderId="0" xfId="0" applyBorder="1" applyAlignment="1">
      <alignment horizontal="right"/>
    </xf>
    <xf numFmtId="0" fontId="0" fillId="0" borderId="30" xfId="0" applyFont="1" applyFill="1" applyBorder="1"/>
    <xf numFmtId="44" fontId="0" fillId="0" borderId="0" xfId="4" applyFont="1" applyFill="1"/>
    <xf numFmtId="0" fontId="0" fillId="0" borderId="13" xfId="0" applyFill="1" applyBorder="1"/>
    <xf numFmtId="0" fontId="0" fillId="0" borderId="55" xfId="0" applyFont="1" applyFill="1" applyBorder="1"/>
    <xf numFmtId="17" fontId="15" fillId="5" borderId="0" xfId="0" applyNumberFormat="1" applyFont="1" applyFill="1" applyBorder="1" applyAlignment="1">
      <alignment horizontal="center" vertical="center"/>
    </xf>
    <xf numFmtId="0" fontId="0" fillId="0" borderId="18" xfId="0" applyFont="1" applyFill="1" applyBorder="1" applyAlignment="1">
      <alignment vertical="center"/>
    </xf>
    <xf numFmtId="44" fontId="0" fillId="0" borderId="56" xfId="4" applyNumberFormat="1" applyFont="1" applyFill="1" applyBorder="1"/>
    <xf numFmtId="0" fontId="0" fillId="0" borderId="57" xfId="0" applyFont="1" applyFill="1" applyBorder="1"/>
    <xf numFmtId="44" fontId="0" fillId="0" borderId="0" xfId="4" applyNumberFormat="1" applyFont="1"/>
    <xf numFmtId="0" fontId="4" fillId="0" borderId="2" xfId="0" quotePrefix="1" applyFont="1" applyBorder="1" applyAlignment="1">
      <alignment horizontal="center"/>
    </xf>
    <xf numFmtId="0" fontId="3" fillId="0" borderId="2" xfId="0" applyFont="1" applyBorder="1" applyAlignment="1">
      <alignment horizontal="center" wrapText="1"/>
    </xf>
    <xf numFmtId="164" fontId="3" fillId="0" borderId="2" xfId="0" applyNumberFormat="1" applyFont="1" applyBorder="1" applyAlignment="1">
      <alignment horizontal="center"/>
    </xf>
    <xf numFmtId="1" fontId="4" fillId="0" borderId="2" xfId="0" applyNumberFormat="1" applyFont="1" applyBorder="1" applyAlignment="1">
      <alignment horizontal="center"/>
    </xf>
    <xf numFmtId="164" fontId="4" fillId="0" borderId="2" xfId="0" applyNumberFormat="1" applyFont="1" applyBorder="1" applyAlignment="1">
      <alignment horizontal="center"/>
    </xf>
    <xf numFmtId="1" fontId="4" fillId="0" borderId="2" xfId="0" quotePrefix="1" applyNumberFormat="1" applyFont="1" applyBorder="1" applyAlignment="1">
      <alignment horizontal="center"/>
    </xf>
    <xf numFmtId="0" fontId="4" fillId="0" borderId="2" xfId="0" applyFont="1" applyBorder="1" applyAlignment="1">
      <alignment wrapText="1"/>
    </xf>
    <xf numFmtId="164" fontId="4" fillId="0" borderId="2" xfId="0" quotePrefix="1" applyNumberFormat="1" applyFont="1" applyBorder="1" applyAlignment="1">
      <alignment horizontal="center"/>
    </xf>
    <xf numFmtId="0" fontId="4" fillId="0" borderId="2" xfId="0" applyFont="1" applyBorder="1" applyAlignment="1">
      <alignment horizontal="center"/>
    </xf>
    <xf numFmtId="0" fontId="3" fillId="0" borderId="2" xfId="0" applyFont="1" applyBorder="1" applyAlignment="1">
      <alignment horizontal="center"/>
    </xf>
    <xf numFmtId="0" fontId="4" fillId="0" borderId="2" xfId="6" applyFont="1" applyBorder="1" applyAlignment="1">
      <alignment horizontal="center"/>
    </xf>
    <xf numFmtId="165" fontId="3" fillId="0" borderId="2" xfId="0" applyNumberFormat="1" applyFont="1" applyBorder="1" applyAlignment="1">
      <alignment horizontal="center"/>
    </xf>
    <xf numFmtId="1" fontId="3" fillId="0" borderId="2" xfId="0" applyNumberFormat="1" applyFont="1" applyBorder="1" applyAlignment="1">
      <alignment horizontal="center"/>
    </xf>
    <xf numFmtId="0" fontId="3" fillId="0" borderId="2" xfId="0" applyFont="1" applyBorder="1" applyAlignment="1">
      <alignment wrapText="1"/>
    </xf>
    <xf numFmtId="0" fontId="3" fillId="9" borderId="2" xfId="0" applyFont="1" applyFill="1" applyBorder="1" applyAlignment="1">
      <alignment wrapText="1"/>
    </xf>
    <xf numFmtId="0" fontId="3" fillId="0" borderId="2" xfId="0" applyFont="1" applyBorder="1"/>
    <xf numFmtId="165" fontId="4" fillId="0" borderId="2" xfId="0" applyNumberFormat="1" applyFont="1" applyBorder="1" applyAlignment="1">
      <alignment horizontal="center"/>
    </xf>
    <xf numFmtId="0" fontId="4" fillId="0" borderId="0" xfId="0" applyFont="1" applyAlignment="1">
      <alignment wrapText="1"/>
    </xf>
    <xf numFmtId="0" fontId="4" fillId="0" borderId="0" xfId="0" applyFont="1"/>
    <xf numFmtId="0" fontId="4" fillId="0" borderId="0" xfId="0" quotePrefix="1"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164" fontId="3" fillId="0" borderId="0" xfId="0" applyNumberFormat="1" applyFont="1" applyAlignment="1">
      <alignment horizontal="center"/>
    </xf>
    <xf numFmtId="1" fontId="3" fillId="0" borderId="0" xfId="0" applyNumberFormat="1" applyFont="1" applyAlignment="1">
      <alignment horizontal="center"/>
    </xf>
    <xf numFmtId="0" fontId="3" fillId="0" borderId="0" xfId="0" applyFont="1" applyAlignment="1">
      <alignment wrapText="1"/>
    </xf>
    <xf numFmtId="0" fontId="4" fillId="0" borderId="11" xfId="0" quotePrefix="1" applyFont="1" applyBorder="1" applyAlignment="1">
      <alignment horizontal="center"/>
    </xf>
    <xf numFmtId="0" fontId="3" fillId="0" borderId="11" xfId="0" applyFont="1" applyBorder="1" applyAlignment="1">
      <alignment horizontal="center"/>
    </xf>
    <xf numFmtId="0" fontId="4" fillId="0" borderId="11" xfId="0" applyFont="1" applyBorder="1" applyAlignment="1">
      <alignment horizontal="center"/>
    </xf>
    <xf numFmtId="166" fontId="4" fillId="0" borderId="14" xfId="0" applyNumberFormat="1" applyFont="1" applyBorder="1" applyAlignment="1">
      <alignment horizontal="center"/>
    </xf>
    <xf numFmtId="166" fontId="0" fillId="0" borderId="6" xfId="0" quotePrefix="1" applyNumberFormat="1" applyBorder="1" applyAlignment="1">
      <alignment horizontal="center" wrapText="1"/>
    </xf>
    <xf numFmtId="0" fontId="0" fillId="0" borderId="6" xfId="0" quotePrefix="1" applyBorder="1" applyAlignment="1">
      <alignment horizontal="center" wrapText="1"/>
    </xf>
    <xf numFmtId="164" fontId="0" fillId="0" borderId="6" xfId="0" quotePrefix="1" applyNumberFormat="1" applyBorder="1" applyAlignment="1">
      <alignment horizontal="center" wrapText="1"/>
    </xf>
    <xf numFmtId="1" fontId="0" fillId="0" borderId="6" xfId="0" quotePrefix="1" applyNumberFormat="1" applyBorder="1" applyAlignment="1">
      <alignment horizontal="center" wrapText="1"/>
    </xf>
    <xf numFmtId="164" fontId="0" fillId="0" borderId="6" xfId="0" applyNumberFormat="1" applyBorder="1" applyAlignment="1">
      <alignment horizontal="center" wrapText="1"/>
    </xf>
    <xf numFmtId="1" fontId="4" fillId="0" borderId="6" xfId="0" applyNumberFormat="1" applyFont="1" applyBorder="1" applyAlignment="1">
      <alignment horizontal="center" wrapText="1"/>
    </xf>
    <xf numFmtId="166" fontId="0" fillId="0" borderId="6" xfId="0" applyNumberFormat="1" applyBorder="1" applyAlignment="1">
      <alignment wrapText="1"/>
    </xf>
    <xf numFmtId="0" fontId="4" fillId="0" borderId="15" xfId="0" quotePrefix="1" applyFont="1" applyBorder="1" applyAlignment="1">
      <alignment horizontal="center"/>
    </xf>
    <xf numFmtId="0" fontId="3" fillId="0" borderId="4" xfId="0" applyFont="1" applyBorder="1" applyAlignment="1">
      <alignment horizontal="center" wrapText="1"/>
    </xf>
    <xf numFmtId="0" fontId="4" fillId="0" borderId="4" xfId="0" quotePrefix="1" applyFont="1" applyBorder="1" applyAlignment="1">
      <alignment horizontal="center"/>
    </xf>
    <xf numFmtId="164" fontId="3" fillId="0" borderId="4" xfId="0" applyNumberFormat="1" applyFont="1" applyBorder="1" applyAlignment="1">
      <alignment horizontal="center"/>
    </xf>
    <xf numFmtId="1" fontId="4" fillId="0" borderId="4" xfId="0" applyNumberFormat="1" applyFont="1" applyBorder="1" applyAlignment="1">
      <alignment horizontal="center"/>
    </xf>
    <xf numFmtId="164" fontId="4" fillId="0" borderId="4" xfId="0" applyNumberFormat="1" applyFont="1" applyBorder="1" applyAlignment="1">
      <alignment horizontal="center"/>
    </xf>
    <xf numFmtId="1" fontId="4" fillId="0" borderId="4" xfId="0" quotePrefix="1" applyNumberFormat="1" applyFont="1" applyBorder="1" applyAlignment="1">
      <alignment horizontal="center"/>
    </xf>
    <xf numFmtId="0" fontId="4" fillId="0" borderId="4" xfId="0" applyFont="1" applyBorder="1" applyAlignment="1">
      <alignment wrapText="1"/>
    </xf>
    <xf numFmtId="2" fontId="0" fillId="0" borderId="39" xfId="4" applyNumberFormat="1" applyFont="1" applyFill="1" applyBorder="1"/>
    <xf numFmtId="0" fontId="0" fillId="0" borderId="27" xfId="4" applyNumberFormat="1" applyFont="1" applyFill="1" applyBorder="1"/>
    <xf numFmtId="44" fontId="0" fillId="13" borderId="38" xfId="4" applyNumberFormat="1" applyFont="1" applyFill="1" applyBorder="1"/>
    <xf numFmtId="44" fontId="0" fillId="13" borderId="39" xfId="4" applyNumberFormat="1" applyFont="1" applyFill="1" applyBorder="1"/>
    <xf numFmtId="0" fontId="1" fillId="2" borderId="13" xfId="0" applyFont="1" applyFill="1" applyBorder="1" applyAlignment="1">
      <alignment vertical="center" wrapText="1"/>
    </xf>
    <xf numFmtId="44" fontId="0" fillId="0" borderId="0" xfId="4" applyFont="1" applyFill="1" applyBorder="1"/>
    <xf numFmtId="0" fontId="16" fillId="0" borderId="0" xfId="0" applyFont="1" applyBorder="1"/>
    <xf numFmtId="44" fontId="16" fillId="0" borderId="0" xfId="4" applyFont="1" applyBorder="1"/>
    <xf numFmtId="0" fontId="3" fillId="0" borderId="11" xfId="1" applyFont="1" applyFill="1" applyBorder="1" applyAlignment="1">
      <alignment horizontal="center"/>
    </xf>
    <xf numFmtId="0" fontId="4" fillId="0" borderId="11" xfId="1" quotePrefix="1" applyNumberFormat="1" applyFont="1" applyFill="1" applyBorder="1" applyAlignment="1">
      <alignment horizontal="center"/>
    </xf>
    <xf numFmtId="0" fontId="3" fillId="0" borderId="2" xfId="1" applyFill="1" applyBorder="1" applyAlignment="1">
      <alignment horizontal="center" wrapText="1"/>
    </xf>
    <xf numFmtId="0" fontId="4" fillId="0" borderId="2" xfId="1" quotePrefix="1" applyNumberFormat="1" applyFont="1" applyFill="1" applyBorder="1" applyAlignment="1">
      <alignment horizontal="center"/>
    </xf>
    <xf numFmtId="164" fontId="4" fillId="0" borderId="2" xfId="1" quotePrefix="1" applyNumberFormat="1" applyFont="1" applyFill="1" applyBorder="1" applyAlignment="1">
      <alignment horizontal="center"/>
    </xf>
    <xf numFmtId="0" fontId="4" fillId="0" borderId="2" xfId="1" applyNumberFormat="1" applyFont="1" applyFill="1" applyBorder="1" applyAlignment="1">
      <alignment horizontal="center"/>
    </xf>
    <xf numFmtId="0" fontId="4" fillId="0" borderId="2" xfId="1" applyFont="1" applyFill="1" applyBorder="1" applyAlignment="1">
      <alignment horizontal="center"/>
    </xf>
    <xf numFmtId="0" fontId="4" fillId="0" borderId="2" xfId="1" quotePrefix="1" applyFont="1" applyFill="1" applyBorder="1" applyAlignment="1">
      <alignment horizontal="center"/>
    </xf>
    <xf numFmtId="0" fontId="3" fillId="0" borderId="2" xfId="1" applyFont="1" applyFill="1" applyBorder="1" applyAlignment="1">
      <alignment horizontal="center" wrapText="1"/>
    </xf>
    <xf numFmtId="0" fontId="3" fillId="0" borderId="2" xfId="1" applyFont="1" applyFill="1" applyBorder="1" applyAlignment="1">
      <alignment horizontal="center"/>
    </xf>
    <xf numFmtId="0" fontId="4" fillId="0" borderId="2" xfId="6" applyFont="1" applyFill="1" applyBorder="1" applyAlignment="1">
      <alignment horizontal="center"/>
    </xf>
    <xf numFmtId="0" fontId="4" fillId="0" borderId="0" xfId="1" quotePrefix="1" applyNumberFormat="1" applyFont="1" applyFill="1" applyBorder="1" applyAlignment="1">
      <alignment horizontal="center"/>
    </xf>
    <xf numFmtId="165" fontId="6" fillId="0" borderId="2" xfId="1" applyNumberFormat="1" applyFont="1" applyFill="1" applyBorder="1" applyAlignment="1">
      <alignment horizontal="center"/>
    </xf>
    <xf numFmtId="0" fontId="4" fillId="0" borderId="3" xfId="6" applyFont="1" applyFill="1" applyBorder="1" applyAlignment="1">
      <alignment horizontal="center"/>
    </xf>
    <xf numFmtId="0" fontId="3" fillId="0" borderId="0" xfId="1" applyFont="1" applyFill="1" applyBorder="1" applyAlignment="1">
      <alignment horizontal="center"/>
    </xf>
    <xf numFmtId="0" fontId="4" fillId="0" borderId="11" xfId="1" applyNumberFormat="1" applyFont="1" applyFill="1" applyBorder="1" applyAlignment="1">
      <alignment horizontal="center"/>
    </xf>
    <xf numFmtId="164" fontId="4" fillId="0" borderId="5" xfId="1" applyNumberFormat="1" applyFont="1" applyFill="1" applyBorder="1" applyAlignment="1">
      <alignment horizontal="center"/>
    </xf>
    <xf numFmtId="0" fontId="4" fillId="0" borderId="15" xfId="1" quotePrefix="1" applyNumberFormat="1" applyFont="1" applyFill="1" applyBorder="1" applyAlignment="1">
      <alignment horizontal="center"/>
    </xf>
    <xf numFmtId="0" fontId="3" fillId="0" borderId="4" xfId="1" applyFont="1" applyFill="1" applyBorder="1" applyAlignment="1">
      <alignment horizontal="center" wrapText="1"/>
    </xf>
    <xf numFmtId="166" fontId="18" fillId="2" borderId="14" xfId="1" applyNumberFormat="1" applyFont="1" applyFill="1" applyBorder="1" applyAlignment="1">
      <alignment horizontal="center"/>
    </xf>
    <xf numFmtId="166" fontId="18" fillId="2" borderId="6" xfId="1" quotePrefix="1" applyNumberFormat="1" applyFont="1" applyFill="1" applyBorder="1" applyAlignment="1">
      <alignment horizontal="center" wrapText="1"/>
    </xf>
    <xf numFmtId="0" fontId="18" fillId="2" borderId="6" xfId="1" quotePrefix="1" applyNumberFormat="1" applyFont="1" applyFill="1" applyBorder="1" applyAlignment="1">
      <alignment horizontal="center" wrapText="1"/>
    </xf>
    <xf numFmtId="164" fontId="18" fillId="2" borderId="12" xfId="1" quotePrefix="1" applyNumberFormat="1" applyFont="1" applyFill="1" applyBorder="1" applyAlignment="1">
      <alignment horizontal="center" wrapText="1"/>
    </xf>
    <xf numFmtId="0" fontId="0" fillId="0" borderId="38" xfId="0" applyFont="1" applyFill="1" applyBorder="1"/>
    <xf numFmtId="0" fontId="1" fillId="3" borderId="52" xfId="0" applyFont="1" applyFill="1" applyBorder="1" applyAlignment="1">
      <alignment vertical="center" wrapText="1"/>
    </xf>
    <xf numFmtId="0" fontId="0" fillId="0" borderId="38" xfId="0" applyFont="1" applyFill="1" applyBorder="1" applyAlignment="1">
      <alignment horizontal="right"/>
    </xf>
    <xf numFmtId="0" fontId="0" fillId="0" borderId="39" xfId="0" applyNumberFormat="1" applyFont="1" applyFill="1" applyBorder="1"/>
    <xf numFmtId="0" fontId="0" fillId="0" borderId="39" xfId="0" applyFont="1" applyFill="1" applyBorder="1" applyAlignment="1">
      <alignment horizontal="right"/>
    </xf>
    <xf numFmtId="0" fontId="0" fillId="0" borderId="39" xfId="0" applyNumberFormat="1" applyFont="1" applyFill="1" applyBorder="1" applyAlignment="1">
      <alignment horizontal="right"/>
    </xf>
    <xf numFmtId="44" fontId="0" fillId="0" borderId="38" xfId="0" applyNumberFormat="1" applyFont="1" applyFill="1" applyBorder="1" applyAlignment="1">
      <alignment horizontal="right"/>
    </xf>
    <xf numFmtId="44" fontId="0" fillId="0" borderId="38" xfId="0" applyNumberFormat="1" applyFont="1" applyFill="1" applyBorder="1"/>
    <xf numFmtId="44" fontId="0" fillId="0" borderId="39" xfId="0" applyNumberFormat="1" applyFont="1" applyFill="1" applyBorder="1"/>
    <xf numFmtId="0" fontId="1" fillId="2" borderId="59" xfId="0" applyFont="1" applyFill="1" applyBorder="1" applyAlignment="1">
      <alignment vertical="center" wrapText="1"/>
    </xf>
    <xf numFmtId="0" fontId="25" fillId="0" borderId="0" xfId="0" applyFont="1" applyFill="1" applyBorder="1"/>
    <xf numFmtId="44" fontId="0" fillId="0" borderId="0" xfId="0" applyNumberFormat="1" applyBorder="1"/>
    <xf numFmtId="44" fontId="0" fillId="0" borderId="0" xfId="0" applyNumberFormat="1"/>
    <xf numFmtId="0" fontId="2" fillId="0" borderId="38" xfId="0" applyFont="1" applyFill="1" applyBorder="1" applyAlignment="1">
      <alignment vertical="center"/>
    </xf>
    <xf numFmtId="0" fontId="0" fillId="0" borderId="38" xfId="0" applyFont="1" applyFill="1" applyBorder="1" applyAlignment="1">
      <alignment vertical="center"/>
    </xf>
    <xf numFmtId="0" fontId="0" fillId="0" borderId="39" xfId="0" applyFont="1" applyFill="1" applyBorder="1"/>
    <xf numFmtId="0" fontId="2" fillId="0" borderId="38" xfId="0" applyFont="1" applyBorder="1" applyAlignment="1">
      <alignment vertical="center"/>
    </xf>
    <xf numFmtId="0" fontId="2" fillId="0" borderId="38" xfId="0" applyFont="1" applyBorder="1" applyAlignment="1">
      <alignment horizontal="right" vertical="center"/>
    </xf>
    <xf numFmtId="44" fontId="0" fillId="0" borderId="38" xfId="0" applyNumberFormat="1" applyBorder="1" applyAlignment="1">
      <alignment horizontal="right"/>
    </xf>
    <xf numFmtId="44" fontId="2" fillId="0" borderId="38" xfId="0" applyNumberFormat="1" applyFont="1" applyFill="1" applyBorder="1" applyAlignment="1">
      <alignment vertical="center"/>
    </xf>
    <xf numFmtId="44" fontId="0" fillId="0" borderId="38" xfId="0" applyNumberFormat="1" applyFont="1" applyFill="1" applyBorder="1" applyAlignment="1">
      <alignment vertical="center"/>
    </xf>
    <xf numFmtId="0" fontId="17" fillId="2" borderId="6" xfId="0" quotePrefix="1" applyFont="1" applyFill="1" applyBorder="1" applyAlignment="1">
      <alignment horizontal="center" wrapText="1"/>
    </xf>
    <xf numFmtId="164" fontId="4" fillId="0" borderId="5" xfId="0" quotePrefix="1" applyNumberFormat="1" applyFont="1" applyBorder="1" applyAlignment="1">
      <alignment horizontal="center"/>
    </xf>
    <xf numFmtId="0" fontId="4" fillId="0" borderId="3" xfId="0" quotePrefix="1" applyFont="1" applyBorder="1" applyAlignment="1">
      <alignment horizontal="center"/>
    </xf>
    <xf numFmtId="164" fontId="4" fillId="0" borderId="8" xfId="0" quotePrefix="1" applyNumberFormat="1" applyFont="1" applyBorder="1" applyAlignment="1">
      <alignment horizontal="center"/>
    </xf>
    <xf numFmtId="0" fontId="0" fillId="0" borderId="61" xfId="0" applyBorder="1"/>
    <xf numFmtId="0" fontId="1" fillId="3" borderId="52" xfId="0" applyFont="1" applyFill="1" applyBorder="1" applyAlignment="1">
      <alignment horizontal="center" vertical="center" wrapText="1"/>
    </xf>
    <xf numFmtId="0" fontId="1" fillId="3" borderId="60" xfId="0" applyFont="1" applyFill="1" applyBorder="1" applyAlignment="1">
      <alignment horizontal="center" vertical="center" wrapText="1"/>
    </xf>
    <xf numFmtId="0" fontId="1" fillId="3" borderId="62" xfId="0" applyFont="1" applyFill="1" applyBorder="1" applyAlignment="1">
      <alignment vertical="center" wrapText="1"/>
    </xf>
    <xf numFmtId="44" fontId="0" fillId="0" borderId="63" xfId="0" applyNumberFormat="1" applyBorder="1" applyAlignment="1">
      <alignment horizontal="right"/>
    </xf>
    <xf numFmtId="44" fontId="2" fillId="0" borderId="63" xfId="0" applyNumberFormat="1" applyFont="1" applyFill="1" applyBorder="1" applyAlignment="1">
      <alignment vertical="center"/>
    </xf>
    <xf numFmtId="44" fontId="0" fillId="0" borderId="63" xfId="0" applyNumberFormat="1" applyFont="1" applyFill="1" applyBorder="1" applyAlignment="1">
      <alignment vertical="center"/>
    </xf>
    <xf numFmtId="44" fontId="0" fillId="0" borderId="63" xfId="0" applyNumberFormat="1" applyFont="1" applyFill="1" applyBorder="1"/>
    <xf numFmtId="44" fontId="0" fillId="0" borderId="64" xfId="0" applyNumberFormat="1" applyFont="1" applyFill="1" applyBorder="1"/>
    <xf numFmtId="0" fontId="2" fillId="0" borderId="38" xfId="0" applyFont="1" applyFill="1" applyBorder="1" applyAlignment="1">
      <alignment horizontal="right" vertical="center"/>
    </xf>
    <xf numFmtId="0" fontId="0" fillId="0" borderId="38" xfId="0" applyFont="1" applyFill="1" applyBorder="1" applyAlignment="1">
      <alignment horizontal="right" vertical="center"/>
    </xf>
    <xf numFmtId="0" fontId="1" fillId="3" borderId="62" xfId="0" applyFont="1" applyFill="1" applyBorder="1" applyAlignment="1">
      <alignment horizontal="center" vertical="center" wrapText="1"/>
    </xf>
    <xf numFmtId="0" fontId="3" fillId="0" borderId="0" xfId="1"/>
    <xf numFmtId="0" fontId="4" fillId="0" borderId="2" xfId="1" quotePrefix="1" applyFont="1" applyBorder="1" applyAlignment="1">
      <alignment horizontal="center"/>
    </xf>
    <xf numFmtId="0" fontId="3" fillId="0" borderId="2" xfId="1" applyBorder="1" applyAlignment="1">
      <alignment horizontal="center" wrapText="1"/>
    </xf>
    <xf numFmtId="164" fontId="4" fillId="0" borderId="2" xfId="1" quotePrefix="1" applyNumberFormat="1" applyFont="1" applyBorder="1" applyAlignment="1">
      <alignment horizontal="center"/>
    </xf>
    <xf numFmtId="0" fontId="3" fillId="0" borderId="2" xfId="1" applyBorder="1" applyAlignment="1">
      <alignment horizontal="center"/>
    </xf>
    <xf numFmtId="0" fontId="6" fillId="0" borderId="65" xfId="6" applyFont="1" applyBorder="1" applyAlignment="1">
      <alignment horizontal="center"/>
    </xf>
    <xf numFmtId="0" fontId="4" fillId="0" borderId="2" xfId="1" applyFont="1" applyBorder="1" applyAlignment="1">
      <alignment horizontal="center"/>
    </xf>
    <xf numFmtId="0" fontId="4" fillId="0" borderId="0" xfId="1" applyFont="1"/>
    <xf numFmtId="0" fontId="4" fillId="0" borderId="0" xfId="1" quotePrefix="1" applyFont="1" applyAlignment="1">
      <alignment horizontal="center"/>
    </xf>
    <xf numFmtId="0" fontId="6" fillId="0" borderId="2" xfId="1" applyFont="1" applyBorder="1" applyAlignment="1">
      <alignment horizontal="center"/>
    </xf>
    <xf numFmtId="0" fontId="3" fillId="0" borderId="0" xfId="1" applyAlignment="1">
      <alignment horizontal="center"/>
    </xf>
    <xf numFmtId="0" fontId="3" fillId="0" borderId="0" xfId="1" applyAlignment="1">
      <alignment horizontal="center" wrapText="1"/>
    </xf>
    <xf numFmtId="164" fontId="3" fillId="0" borderId="0" xfId="1" applyNumberFormat="1" applyAlignment="1">
      <alignment horizontal="center"/>
    </xf>
    <xf numFmtId="0" fontId="6" fillId="0" borderId="2" xfId="6" applyFont="1" applyBorder="1" applyAlignment="1">
      <alignment horizontal="center"/>
    </xf>
    <xf numFmtId="0" fontId="4" fillId="0" borderId="11" xfId="1" quotePrefix="1" applyFont="1" applyBorder="1" applyAlignment="1">
      <alignment horizontal="center"/>
    </xf>
    <xf numFmtId="0" fontId="3" fillId="0" borderId="11" xfId="1" applyBorder="1" applyAlignment="1">
      <alignment horizontal="center"/>
    </xf>
    <xf numFmtId="0" fontId="4" fillId="0" borderId="11" xfId="1" applyFont="1" applyBorder="1" applyAlignment="1">
      <alignment horizontal="center"/>
    </xf>
    <xf numFmtId="164" fontId="4" fillId="0" borderId="5" xfId="1" quotePrefix="1" applyNumberFormat="1" applyFont="1" applyBorder="1" applyAlignment="1">
      <alignment horizontal="center"/>
    </xf>
    <xf numFmtId="164" fontId="4" fillId="0" borderId="5" xfId="1" applyNumberFormat="1" applyFont="1" applyBorder="1" applyAlignment="1">
      <alignment horizontal="center"/>
    </xf>
    <xf numFmtId="164" fontId="4" fillId="9" borderId="5" xfId="1" quotePrefix="1" applyNumberFormat="1" applyFont="1" applyFill="1" applyBorder="1" applyAlignment="1">
      <alignment horizontal="center"/>
    </xf>
    <xf numFmtId="166" fontId="3" fillId="0" borderId="6" xfId="1" quotePrefix="1" applyNumberFormat="1" applyBorder="1" applyAlignment="1">
      <alignment horizontal="center" wrapText="1"/>
    </xf>
    <xf numFmtId="0" fontId="3" fillId="0" borderId="6" xfId="1" quotePrefix="1" applyBorder="1" applyAlignment="1">
      <alignment horizontal="center" wrapText="1"/>
    </xf>
    <xf numFmtId="164" fontId="3" fillId="0" borderId="12" xfId="1" quotePrefix="1" applyNumberFormat="1" applyBorder="1" applyAlignment="1">
      <alignment horizontal="center" wrapText="1"/>
    </xf>
    <xf numFmtId="0" fontId="4" fillId="0" borderId="15" xfId="1" quotePrefix="1" applyFont="1" applyBorder="1" applyAlignment="1">
      <alignment horizontal="center"/>
    </xf>
    <xf numFmtId="0" fontId="3" fillId="0" borderId="4" xfId="1" applyBorder="1" applyAlignment="1">
      <alignment horizontal="center" wrapText="1"/>
    </xf>
    <xf numFmtId="0" fontId="4" fillId="0" borderId="4" xfId="1" quotePrefix="1" applyFont="1" applyBorder="1" applyAlignment="1">
      <alignment horizontal="center"/>
    </xf>
    <xf numFmtId="164" fontId="4" fillId="0" borderId="8" xfId="1" quotePrefix="1" applyNumberFormat="1" applyFont="1" applyBorder="1" applyAlignment="1">
      <alignment horizontal="center"/>
    </xf>
    <xf numFmtId="166" fontId="18" fillId="0" borderId="14" xfId="1" applyNumberFormat="1" applyFont="1" applyBorder="1" applyAlignment="1">
      <alignment horizontal="center"/>
    </xf>
    <xf numFmtId="166" fontId="18" fillId="0" borderId="6" xfId="1" quotePrefix="1" applyNumberFormat="1" applyFont="1" applyBorder="1" applyAlignment="1">
      <alignment horizontal="center" wrapText="1"/>
    </xf>
    <xf numFmtId="0" fontId="18" fillId="0" borderId="6" xfId="1" quotePrefix="1" applyFont="1" applyBorder="1" applyAlignment="1">
      <alignment horizontal="center" wrapText="1"/>
    </xf>
    <xf numFmtId="164" fontId="18" fillId="0" borderId="12" xfId="1" quotePrefix="1" applyNumberFormat="1" applyFont="1" applyBorder="1" applyAlignment="1">
      <alignment horizontal="center" wrapText="1"/>
    </xf>
    <xf numFmtId="44" fontId="0" fillId="0" borderId="61" xfId="0" applyNumberFormat="1" applyBorder="1"/>
    <xf numFmtId="0" fontId="25" fillId="0" borderId="0" xfId="0" applyFont="1" applyBorder="1"/>
    <xf numFmtId="0" fontId="25" fillId="0" borderId="0" xfId="0" applyFont="1"/>
    <xf numFmtId="0" fontId="17" fillId="2" borderId="0" xfId="0" applyFont="1" applyFill="1"/>
    <xf numFmtId="0" fontId="0" fillId="0" borderId="0" xfId="0" applyAlignment="1">
      <alignment wrapText="1"/>
    </xf>
    <xf numFmtId="0" fontId="3" fillId="0" borderId="0" xfId="1" applyAlignment="1">
      <alignment wrapText="1"/>
    </xf>
    <xf numFmtId="0" fontId="18" fillId="2" borderId="58" xfId="0" applyFont="1" applyFill="1" applyBorder="1"/>
    <xf numFmtId="0" fontId="4" fillId="0" borderId="2" xfId="1" applyFont="1" applyFill="1" applyBorder="1" applyAlignment="1">
      <alignment vertical="top" wrapText="1"/>
    </xf>
    <xf numFmtId="0" fontId="0" fillId="0" borderId="66" xfId="0" applyBorder="1"/>
    <xf numFmtId="0" fontId="25" fillId="0" borderId="13" xfId="0" applyFont="1" applyFill="1" applyBorder="1"/>
    <xf numFmtId="0" fontId="25" fillId="0" borderId="13" xfId="0" applyFont="1" applyBorder="1"/>
    <xf numFmtId="0" fontId="1" fillId="2" borderId="62" xfId="0" applyFont="1" applyFill="1" applyBorder="1" applyAlignment="1">
      <alignment vertical="center" wrapText="1"/>
    </xf>
    <xf numFmtId="0" fontId="1" fillId="2" borderId="67" xfId="0" applyFont="1" applyFill="1" applyBorder="1" applyAlignment="1">
      <alignment vertical="center" wrapText="1"/>
    </xf>
    <xf numFmtId="0" fontId="16" fillId="0" borderId="0" xfId="0" applyFont="1" applyFill="1" applyBorder="1"/>
    <xf numFmtId="0" fontId="16" fillId="0" borderId="13" xfId="0" applyFont="1" applyFill="1" applyBorder="1"/>
    <xf numFmtId="0" fontId="0" fillId="14" borderId="0" xfId="0" applyFill="1" applyBorder="1"/>
    <xf numFmtId="44" fontId="0" fillId="14" borderId="0" xfId="4" applyNumberFormat="1" applyFont="1" applyFill="1" applyBorder="1"/>
    <xf numFmtId="44" fontId="0" fillId="14" borderId="0" xfId="0" applyNumberFormat="1" applyFill="1" applyBorder="1"/>
    <xf numFmtId="0" fontId="0" fillId="0" borderId="0" xfId="0" applyFill="1" applyAlignment="1"/>
    <xf numFmtId="0" fontId="16" fillId="0" borderId="13" xfId="0" applyFont="1" applyBorder="1"/>
    <xf numFmtId="0" fontId="25" fillId="14" borderId="0" xfId="0" applyFont="1" applyFill="1" applyBorder="1"/>
    <xf numFmtId="0" fontId="0" fillId="0" borderId="0" xfId="0" applyFont="1" applyBorder="1"/>
    <xf numFmtId="0" fontId="0" fillId="0" borderId="13" xfId="0" applyFont="1" applyBorder="1"/>
    <xf numFmtId="0" fontId="3" fillId="0" borderId="58" xfId="1" applyBorder="1"/>
    <xf numFmtId="8" fontId="2" fillId="0" borderId="38" xfId="0" applyNumberFormat="1" applyFont="1" applyFill="1" applyBorder="1" applyAlignment="1">
      <alignment vertical="center"/>
    </xf>
    <xf numFmtId="0" fontId="0" fillId="0" borderId="0" xfId="0" applyNumberFormat="1"/>
    <xf numFmtId="0" fontId="16" fillId="0" borderId="0" xfId="0" applyFont="1" applyAlignment="1">
      <alignment horizontal="right" vertical="center" wrapText="1"/>
    </xf>
    <xf numFmtId="0" fontId="18" fillId="0" borderId="58" xfId="1" applyFont="1" applyBorder="1"/>
    <xf numFmtId="0" fontId="4" fillId="0" borderId="2" xfId="1" applyFont="1" applyFill="1" applyBorder="1" applyAlignment="1">
      <alignment vertical="top" wrapText="1"/>
    </xf>
    <xf numFmtId="44" fontId="0" fillId="0" borderId="63" xfId="0" applyNumberFormat="1" applyFont="1" applyFill="1" applyBorder="1" applyAlignment="1">
      <alignment horizontal="right"/>
    </xf>
    <xf numFmtId="0" fontId="1" fillId="3" borderId="76" xfId="0" applyFont="1" applyFill="1" applyBorder="1" applyAlignment="1">
      <alignment vertical="center" wrapText="1"/>
    </xf>
    <xf numFmtId="0" fontId="1" fillId="3" borderId="77" xfId="0" applyFont="1" applyFill="1" applyBorder="1" applyAlignment="1">
      <alignment vertical="center" wrapText="1"/>
    </xf>
    <xf numFmtId="0" fontId="1" fillId="3" borderId="78" xfId="0" applyFont="1" applyFill="1" applyBorder="1" applyAlignment="1">
      <alignment vertical="center" wrapText="1"/>
    </xf>
    <xf numFmtId="0" fontId="0" fillId="0" borderId="70" xfId="0" applyNumberFormat="1" applyFont="1" applyFill="1" applyBorder="1" applyAlignment="1">
      <alignment horizontal="right"/>
    </xf>
    <xf numFmtId="0" fontId="0" fillId="0" borderId="71" xfId="0" applyNumberFormat="1" applyFont="1" applyFill="1" applyBorder="1" applyAlignment="1">
      <alignment horizontal="right"/>
    </xf>
    <xf numFmtId="0" fontId="0" fillId="0" borderId="72" xfId="0" applyNumberFormat="1" applyFont="1" applyFill="1" applyBorder="1" applyAlignment="1">
      <alignment horizontal="right"/>
    </xf>
    <xf numFmtId="1" fontId="0" fillId="0" borderId="38" xfId="0" applyNumberFormat="1" applyFont="1" applyFill="1" applyBorder="1" applyAlignment="1">
      <alignment horizontal="right"/>
    </xf>
    <xf numFmtId="44" fontId="0" fillId="0" borderId="38" xfId="0" applyNumberFormat="1" applyFont="1" applyFill="1" applyBorder="1" applyAlignment="1"/>
    <xf numFmtId="44" fontId="0" fillId="0" borderId="39" xfId="0" applyNumberFormat="1" applyFont="1" applyFill="1" applyBorder="1" applyAlignment="1"/>
    <xf numFmtId="44" fontId="0" fillId="0" borderId="73" xfId="0" applyNumberFormat="1" applyFont="1" applyFill="1" applyBorder="1" applyAlignment="1"/>
    <xf numFmtId="37" fontId="0" fillId="0" borderId="38" xfId="0" applyNumberFormat="1" applyFont="1" applyFill="1" applyBorder="1" applyAlignment="1">
      <alignment horizontal="right"/>
    </xf>
    <xf numFmtId="37" fontId="0" fillId="0" borderId="39" xfId="0" applyNumberFormat="1" applyFont="1" applyFill="1" applyBorder="1" applyAlignment="1">
      <alignment horizontal="right"/>
    </xf>
    <xf numFmtId="37" fontId="0" fillId="0" borderId="73" xfId="0" applyNumberFormat="1" applyFont="1" applyFill="1" applyBorder="1" applyAlignment="1">
      <alignment horizontal="right"/>
    </xf>
    <xf numFmtId="0" fontId="0" fillId="0" borderId="73" xfId="0" applyNumberFormat="1" applyFont="1" applyFill="1" applyBorder="1" applyAlignment="1">
      <alignment horizontal="right"/>
    </xf>
    <xf numFmtId="0" fontId="1" fillId="2" borderId="69" xfId="0" applyFont="1" applyFill="1" applyBorder="1" applyAlignment="1">
      <alignment vertical="center" wrapText="1"/>
    </xf>
    <xf numFmtId="0" fontId="1" fillId="2" borderId="79" xfId="0" applyFont="1" applyFill="1" applyBorder="1" applyAlignment="1">
      <alignment vertical="center" wrapText="1"/>
    </xf>
    <xf numFmtId="0" fontId="1" fillId="2" borderId="81" xfId="0" applyFont="1" applyFill="1" applyBorder="1" applyAlignment="1">
      <alignment vertical="center" wrapText="1"/>
    </xf>
    <xf numFmtId="0" fontId="0" fillId="0" borderId="80" xfId="0" applyFill="1" applyBorder="1" applyAlignment="1">
      <alignment horizontal="right"/>
    </xf>
    <xf numFmtId="0" fontId="0" fillId="0" borderId="0" xfId="0" applyFill="1" applyBorder="1" applyAlignment="1">
      <alignment horizontal="left"/>
    </xf>
    <xf numFmtId="44" fontId="0" fillId="0" borderId="0" xfId="0" applyNumberFormat="1" applyFill="1" applyBorder="1"/>
    <xf numFmtId="0" fontId="0" fillId="0" borderId="61" xfId="0" applyFill="1" applyBorder="1" applyAlignment="1">
      <alignment horizontal="left"/>
    </xf>
    <xf numFmtId="0" fontId="0" fillId="0" borderId="58" xfId="0" applyFill="1" applyBorder="1" applyAlignment="1">
      <alignment horizontal="left"/>
    </xf>
    <xf numFmtId="0" fontId="0" fillId="0" borderId="58" xfId="0" applyFill="1" applyBorder="1"/>
    <xf numFmtId="44" fontId="0" fillId="0" borderId="58" xfId="0" applyNumberFormat="1" applyFill="1" applyBorder="1"/>
    <xf numFmtId="0" fontId="0" fillId="0" borderId="14" xfId="0" applyFill="1" applyBorder="1" applyAlignment="1">
      <alignment horizontal="left"/>
    </xf>
    <xf numFmtId="0" fontId="0" fillId="0" borderId="12" xfId="0" applyFill="1" applyBorder="1" applyAlignment="1">
      <alignment horizontal="right"/>
    </xf>
    <xf numFmtId="0" fontId="0" fillId="0" borderId="0" xfId="0" applyFill="1" applyBorder="1" applyAlignment="1">
      <alignment horizontal="right"/>
    </xf>
    <xf numFmtId="0" fontId="0" fillId="0" borderId="58" xfId="0" applyFill="1" applyBorder="1" applyAlignment="1">
      <alignment horizontal="right"/>
    </xf>
    <xf numFmtId="44" fontId="0" fillId="0" borderId="0" xfId="0" applyNumberFormat="1" applyFill="1" applyBorder="1" applyAlignment="1">
      <alignment horizontal="left"/>
    </xf>
    <xf numFmtId="44" fontId="0" fillId="0" borderId="58" xfId="0" applyNumberFormat="1" applyFill="1" applyBorder="1" applyAlignment="1">
      <alignment horizontal="left"/>
    </xf>
    <xf numFmtId="0" fontId="25" fillId="0" borderId="0" xfId="0" applyFont="1" applyFill="1" applyBorder="1" applyAlignment="1">
      <alignment horizontal="left"/>
    </xf>
    <xf numFmtId="0" fontId="25" fillId="0" borderId="80" xfId="0" applyFont="1" applyFill="1" applyBorder="1" applyAlignment="1">
      <alignment horizontal="right"/>
    </xf>
    <xf numFmtId="0" fontId="0" fillId="0" borderId="0" xfId="0" applyNumberFormat="1" applyFill="1" applyBorder="1"/>
    <xf numFmtId="0" fontId="0" fillId="0" borderId="61" xfId="0" applyNumberFormat="1" applyFill="1" applyBorder="1" applyAlignment="1">
      <alignment horizontal="left"/>
    </xf>
    <xf numFmtId="0" fontId="0" fillId="0" borderId="80" xfId="0" applyNumberFormat="1" applyFill="1" applyBorder="1" applyAlignment="1">
      <alignment horizontal="right"/>
    </xf>
    <xf numFmtId="0" fontId="0" fillId="0" borderId="0" xfId="0" applyNumberFormat="1" applyFill="1" applyBorder="1" applyAlignment="1">
      <alignment horizontal="left"/>
    </xf>
    <xf numFmtId="0" fontId="0" fillId="0" borderId="0" xfId="0" applyNumberFormat="1" applyFill="1" applyBorder="1" applyAlignment="1">
      <alignment horizontal="right"/>
    </xf>
    <xf numFmtId="0" fontId="0" fillId="0" borderId="80" xfId="0" applyBorder="1"/>
    <xf numFmtId="0" fontId="25" fillId="0" borderId="0" xfId="0" applyNumberFormat="1" applyFont="1" applyFill="1" applyBorder="1"/>
    <xf numFmtId="0" fontId="16" fillId="0" borderId="0" xfId="0" applyNumberFormat="1" applyFont="1" applyFill="1" applyBorder="1"/>
    <xf numFmtId="0" fontId="0" fillId="0" borderId="39" xfId="0" applyFont="1" applyFill="1" applyBorder="1" applyAlignment="1">
      <alignment vertical="center"/>
    </xf>
    <xf numFmtId="0" fontId="0" fillId="0" borderId="39" xfId="0" applyFont="1" applyFill="1" applyBorder="1" applyAlignment="1">
      <alignment horizontal="right" vertical="center"/>
    </xf>
    <xf numFmtId="1" fontId="0" fillId="0" borderId="39" xfId="0" applyNumberFormat="1" applyFont="1" applyFill="1" applyBorder="1" applyAlignment="1">
      <alignment horizontal="right"/>
    </xf>
    <xf numFmtId="44" fontId="0" fillId="0" borderId="39" xfId="0" applyNumberFormat="1" applyFont="1" applyFill="1" applyBorder="1" applyAlignment="1">
      <alignment horizontal="right"/>
    </xf>
    <xf numFmtId="44" fontId="0" fillId="0" borderId="64" xfId="0" applyNumberFormat="1" applyFont="1" applyFill="1" applyBorder="1" applyAlignment="1">
      <alignment horizontal="right"/>
    </xf>
    <xf numFmtId="0" fontId="0" fillId="0" borderId="38" xfId="0" applyNumberFormat="1" applyFont="1" applyFill="1" applyBorder="1"/>
    <xf numFmtId="0" fontId="0" fillId="0" borderId="0" xfId="0" applyNumberFormat="1" applyFill="1" applyAlignment="1">
      <alignment horizontal="left"/>
    </xf>
    <xf numFmtId="0" fontId="0" fillId="0" borderId="0" xfId="0" applyNumberFormat="1" applyFill="1"/>
    <xf numFmtId="44" fontId="0" fillId="0" borderId="0" xfId="0" applyNumberFormat="1" applyFill="1"/>
    <xf numFmtId="0" fontId="0" fillId="0" borderId="0" xfId="0" applyNumberFormat="1" applyFill="1" applyAlignment="1">
      <alignment horizontal="right"/>
    </xf>
    <xf numFmtId="44" fontId="0" fillId="0" borderId="0" xfId="0" applyNumberFormat="1" applyFill="1" applyAlignment="1">
      <alignment horizontal="left"/>
    </xf>
    <xf numFmtId="0" fontId="7" fillId="0" borderId="24" xfId="3" applyFill="1" applyBorder="1"/>
    <xf numFmtId="0" fontId="0" fillId="9" borderId="31" xfId="0" applyFill="1" applyBorder="1"/>
    <xf numFmtId="0" fontId="0" fillId="0" borderId="0" xfId="0" applyFont="1"/>
    <xf numFmtId="0" fontId="25" fillId="0" borderId="31" xfId="0" applyFont="1" applyBorder="1"/>
    <xf numFmtId="0" fontId="2" fillId="15" borderId="87" xfId="0" applyFont="1" applyFill="1" applyBorder="1" applyAlignment="1">
      <alignment vertical="center"/>
    </xf>
    <xf numFmtId="0" fontId="2" fillId="15" borderId="88" xfId="0" applyFont="1" applyFill="1" applyBorder="1" applyAlignment="1">
      <alignment vertical="center"/>
    </xf>
    <xf numFmtId="0" fontId="0" fillId="15" borderId="88" xfId="0" applyFont="1" applyFill="1" applyBorder="1"/>
    <xf numFmtId="0" fontId="0" fillId="15" borderId="89" xfId="0" applyFont="1" applyFill="1" applyBorder="1"/>
    <xf numFmtId="0" fontId="0" fillId="0" borderId="90" xfId="0" applyFont="1" applyBorder="1"/>
    <xf numFmtId="0" fontId="0" fillId="0" borderId="83" xfId="0" applyFont="1" applyBorder="1"/>
    <xf numFmtId="0" fontId="0" fillId="0" borderId="91" xfId="0" applyFont="1" applyBorder="1"/>
    <xf numFmtId="0" fontId="0" fillId="15" borderId="83" xfId="0" applyFont="1" applyFill="1" applyBorder="1"/>
    <xf numFmtId="0" fontId="0" fillId="16" borderId="0" xfId="0" applyFill="1"/>
    <xf numFmtId="0" fontId="9" fillId="16" borderId="10" xfId="3" applyFont="1" applyFill="1" applyBorder="1"/>
    <xf numFmtId="0" fontId="7" fillId="16" borderId="0" xfId="3" applyFill="1"/>
    <xf numFmtId="0" fontId="9" fillId="16" borderId="10" xfId="0" applyFont="1" applyFill="1" applyBorder="1"/>
    <xf numFmtId="4" fontId="13" fillId="16" borderId="10" xfId="0" applyNumberFormat="1" applyFont="1" applyFill="1" applyBorder="1"/>
    <xf numFmtId="0" fontId="10" fillId="16" borderId="10" xfId="3" applyFont="1" applyFill="1" applyBorder="1"/>
    <xf numFmtId="3" fontId="13" fillId="16" borderId="10" xfId="0" applyNumberFormat="1" applyFont="1" applyFill="1" applyBorder="1"/>
    <xf numFmtId="0" fontId="13" fillId="16" borderId="10" xfId="0" applyFont="1" applyFill="1" applyBorder="1"/>
    <xf numFmtId="44" fontId="0" fillId="15" borderId="88" xfId="4" applyFont="1" applyFill="1" applyBorder="1"/>
    <xf numFmtId="0" fontId="1" fillId="17" borderId="82" xfId="0" applyFont="1" applyFill="1" applyBorder="1" applyAlignment="1">
      <alignment vertical="center" wrapText="1"/>
    </xf>
    <xf numFmtId="0" fontId="1" fillId="17" borderId="83" xfId="0" applyFont="1" applyFill="1" applyBorder="1" applyAlignment="1">
      <alignment vertical="center" wrapText="1"/>
    </xf>
    <xf numFmtId="0" fontId="1" fillId="17" borderId="0" xfId="0" applyFont="1" applyFill="1" applyBorder="1" applyAlignment="1">
      <alignment vertical="center" wrapText="1"/>
    </xf>
    <xf numFmtId="44" fontId="0" fillId="0" borderId="83" xfId="4" applyFont="1" applyBorder="1"/>
    <xf numFmtId="44" fontId="0" fillId="15" borderId="83" xfId="4" applyFont="1" applyFill="1" applyBorder="1"/>
    <xf numFmtId="0" fontId="25" fillId="15" borderId="83" xfId="0" applyFont="1" applyFill="1" applyBorder="1"/>
    <xf numFmtId="0" fontId="7" fillId="16" borderId="10" xfId="3" applyFill="1" applyBorder="1"/>
    <xf numFmtId="44" fontId="0" fillId="0" borderId="83" xfId="0" applyNumberFormat="1" applyFont="1" applyBorder="1"/>
    <xf numFmtId="0" fontId="0" fillId="0" borderId="83" xfId="0" applyFont="1" applyFill="1" applyBorder="1"/>
    <xf numFmtId="0" fontId="28" fillId="18" borderId="84" xfId="0" applyFont="1" applyFill="1" applyBorder="1" applyAlignment="1">
      <alignment vertical="center" wrapText="1"/>
    </xf>
    <xf numFmtId="0" fontId="28" fillId="18" borderId="92" xfId="0" applyFont="1" applyFill="1" applyBorder="1" applyAlignment="1">
      <alignment vertical="center" wrapText="1"/>
    </xf>
    <xf numFmtId="0" fontId="28" fillId="18" borderId="85" xfId="0" applyFont="1" applyFill="1" applyBorder="1" applyAlignment="1">
      <alignment vertical="center" wrapText="1"/>
    </xf>
    <xf numFmtId="0" fontId="28" fillId="18" borderId="86" xfId="0" applyFont="1" applyFill="1" applyBorder="1" applyAlignment="1">
      <alignment vertical="center" wrapText="1"/>
    </xf>
    <xf numFmtId="0" fontId="28" fillId="2" borderId="59" xfId="0" applyFont="1" applyFill="1" applyBorder="1" applyAlignment="1">
      <alignment vertical="center" wrapText="1"/>
    </xf>
    <xf numFmtId="0" fontId="28" fillId="2" borderId="62" xfId="0" applyFont="1" applyFill="1" applyBorder="1" applyAlignment="1">
      <alignment vertical="center" wrapText="1"/>
    </xf>
    <xf numFmtId="0" fontId="28" fillId="2" borderId="52" xfId="0" applyFont="1" applyFill="1" applyBorder="1" applyAlignment="1">
      <alignment vertical="center" wrapText="1"/>
    </xf>
    <xf numFmtId="0" fontId="28" fillId="18" borderId="59" xfId="0" applyFont="1" applyFill="1" applyBorder="1" applyAlignment="1">
      <alignment vertical="center" wrapText="1"/>
    </xf>
    <xf numFmtId="0" fontId="28" fillId="18" borderId="62" xfId="0" applyFont="1" applyFill="1" applyBorder="1" applyAlignment="1">
      <alignment vertical="center" wrapText="1"/>
    </xf>
    <xf numFmtId="0" fontId="28" fillId="18" borderId="52" xfId="0" applyFont="1" applyFill="1" applyBorder="1" applyAlignment="1">
      <alignment vertical="center" wrapText="1"/>
    </xf>
    <xf numFmtId="0" fontId="0" fillId="0" borderId="2" xfId="0" applyBorder="1"/>
    <xf numFmtId="0" fontId="0" fillId="0" borderId="4" xfId="0" applyBorder="1"/>
    <xf numFmtId="0" fontId="7" fillId="16" borderId="10" xfId="3" applyFill="1" applyBorder="1" applyAlignment="1"/>
    <xf numFmtId="0" fontId="14" fillId="16" borderId="10" xfId="3" applyFont="1" applyFill="1" applyBorder="1"/>
    <xf numFmtId="0" fontId="0" fillId="0" borderId="93" xfId="0" applyFont="1" applyBorder="1"/>
    <xf numFmtId="0" fontId="0" fillId="0" borderId="94" xfId="0" applyFont="1" applyBorder="1"/>
    <xf numFmtId="44" fontId="0" fillId="0" borderId="93" xfId="0" applyNumberFormat="1" applyFont="1" applyBorder="1"/>
    <xf numFmtId="44" fontId="0" fillId="0" borderId="93" xfId="4" applyFont="1" applyBorder="1"/>
    <xf numFmtId="44" fontId="0" fillId="15" borderId="93" xfId="4" applyFont="1" applyFill="1" applyBorder="1"/>
    <xf numFmtId="17" fontId="15" fillId="5" borderId="0" xfId="0" applyNumberFormat="1" applyFont="1" applyFill="1" applyBorder="1" applyAlignment="1">
      <alignment horizontal="center"/>
    </xf>
    <xf numFmtId="17" fontId="15" fillId="5" borderId="13" xfId="0" applyNumberFormat="1" applyFont="1" applyFill="1" applyBorder="1" applyAlignment="1">
      <alignment horizontal="center"/>
    </xf>
    <xf numFmtId="17" fontId="15" fillId="5" borderId="31" xfId="0" applyNumberFormat="1" applyFont="1" applyFill="1" applyBorder="1" applyAlignment="1">
      <alignment horizontal="center" vertical="center"/>
    </xf>
    <xf numFmtId="17" fontId="15" fillId="5" borderId="0" xfId="0" applyNumberFormat="1" applyFont="1" applyFill="1" applyBorder="1" applyAlignment="1">
      <alignment horizontal="center" vertical="center"/>
    </xf>
    <xf numFmtId="17" fontId="15" fillId="5" borderId="13" xfId="0" applyNumberFormat="1" applyFont="1" applyFill="1" applyBorder="1" applyAlignment="1">
      <alignment horizontal="center" vertical="center"/>
    </xf>
    <xf numFmtId="17" fontId="15" fillId="5" borderId="34" xfId="0" applyNumberFormat="1" applyFont="1" applyFill="1" applyBorder="1" applyAlignment="1">
      <alignment horizontal="center" vertical="center"/>
    </xf>
    <xf numFmtId="17" fontId="15" fillId="5" borderId="27" xfId="0" applyNumberFormat="1" applyFont="1" applyFill="1" applyBorder="1" applyAlignment="1">
      <alignment horizontal="center" vertical="center"/>
    </xf>
    <xf numFmtId="17" fontId="15" fillId="5" borderId="35" xfId="0" applyNumberFormat="1" applyFont="1" applyFill="1" applyBorder="1" applyAlignment="1">
      <alignment horizontal="center" vertical="center"/>
    </xf>
    <xf numFmtId="17" fontId="15" fillId="5" borderId="43" xfId="0" applyNumberFormat="1" applyFont="1" applyFill="1" applyBorder="1" applyAlignment="1">
      <alignment horizontal="center"/>
    </xf>
    <xf numFmtId="17" fontId="15" fillId="5" borderId="44" xfId="0" applyNumberFormat="1" applyFont="1" applyFill="1" applyBorder="1" applyAlignment="1">
      <alignment horizontal="center"/>
    </xf>
    <xf numFmtId="17" fontId="15" fillId="5" borderId="45" xfId="0" applyNumberFormat="1" applyFont="1" applyFill="1" applyBorder="1" applyAlignment="1">
      <alignment horizontal="center"/>
    </xf>
    <xf numFmtId="17" fontId="15" fillId="5" borderId="5" xfId="0" applyNumberFormat="1" applyFont="1" applyFill="1" applyBorder="1" applyAlignment="1">
      <alignment horizontal="center"/>
    </xf>
    <xf numFmtId="17" fontId="15" fillId="5" borderId="75" xfId="0" applyNumberFormat="1" applyFont="1" applyFill="1" applyBorder="1" applyAlignment="1">
      <alignment horizontal="center"/>
    </xf>
    <xf numFmtId="17" fontId="15" fillId="5" borderId="11" xfId="0" applyNumberFormat="1" applyFont="1" applyFill="1" applyBorder="1" applyAlignment="1">
      <alignment horizontal="center"/>
    </xf>
    <xf numFmtId="17" fontId="15" fillId="5" borderId="31" xfId="0" applyNumberFormat="1" applyFont="1" applyFill="1" applyBorder="1" applyAlignment="1">
      <alignment horizontal="center"/>
    </xf>
    <xf numFmtId="17" fontId="15" fillId="5" borderId="27" xfId="0" applyNumberFormat="1" applyFont="1" applyFill="1" applyBorder="1" applyAlignment="1">
      <alignment horizontal="center"/>
    </xf>
    <xf numFmtId="17" fontId="15" fillId="5" borderId="35" xfId="0" applyNumberFormat="1" applyFont="1" applyFill="1" applyBorder="1" applyAlignment="1">
      <alignment horizontal="center"/>
    </xf>
    <xf numFmtId="17" fontId="15" fillId="5" borderId="34" xfId="0" applyNumberFormat="1" applyFont="1" applyFill="1" applyBorder="1" applyAlignment="1">
      <alignment horizontal="center"/>
    </xf>
    <xf numFmtId="17" fontId="15" fillId="5" borderId="8" xfId="0" applyNumberFormat="1" applyFont="1" applyFill="1" applyBorder="1" applyAlignment="1">
      <alignment horizontal="center"/>
    </xf>
    <xf numFmtId="17" fontId="15" fillId="5" borderId="68" xfId="0" applyNumberFormat="1" applyFont="1" applyFill="1" applyBorder="1" applyAlignment="1">
      <alignment horizontal="center"/>
    </xf>
    <xf numFmtId="17" fontId="15" fillId="5" borderId="15" xfId="0" applyNumberFormat="1" applyFont="1" applyFill="1" applyBorder="1" applyAlignment="1">
      <alignment horizontal="center"/>
    </xf>
    <xf numFmtId="0" fontId="23" fillId="12" borderId="58" xfId="5" applyFont="1" applyFill="1" applyBorder="1" applyAlignment="1">
      <alignment horizontal="center"/>
    </xf>
    <xf numFmtId="0" fontId="23" fillId="11" borderId="0" xfId="5" applyFont="1" applyFill="1" applyAlignment="1">
      <alignment horizontal="center" vertical="center"/>
    </xf>
    <xf numFmtId="0" fontId="23" fillId="11" borderId="0" xfId="5" applyFont="1" applyFill="1" applyAlignment="1">
      <alignment horizontal="center" vertical="top"/>
    </xf>
    <xf numFmtId="0" fontId="23" fillId="12" borderId="0" xfId="5" applyFont="1" applyFill="1" applyAlignment="1">
      <alignment horizontal="center"/>
    </xf>
    <xf numFmtId="0" fontId="24" fillId="11" borderId="0" xfId="5" applyFont="1" applyFill="1"/>
    <xf numFmtId="0" fontId="24" fillId="11" borderId="0" xfId="5" applyFont="1" applyFill="1" applyAlignment="1">
      <alignment wrapText="1"/>
    </xf>
    <xf numFmtId="0" fontId="2" fillId="0" borderId="22" xfId="0" applyFont="1" applyFill="1" applyBorder="1" applyAlignment="1">
      <alignment vertical="center"/>
    </xf>
    <xf numFmtId="0" fontId="2" fillId="0" borderId="39" xfId="0" applyFont="1" applyFill="1" applyBorder="1" applyAlignment="1">
      <alignment vertical="center"/>
    </xf>
    <xf numFmtId="0" fontId="4" fillId="0" borderId="38" xfId="1" quotePrefix="1" applyFont="1" applyBorder="1" applyAlignment="1">
      <alignment horizontal="right"/>
    </xf>
    <xf numFmtId="0" fontId="0" fillId="0" borderId="11" xfId="0" applyFont="1" applyFill="1" applyBorder="1" applyAlignment="1">
      <alignment vertical="center"/>
    </xf>
    <xf numFmtId="0" fontId="2" fillId="0" borderId="39" xfId="0" applyFont="1" applyFill="1" applyBorder="1" applyAlignment="1">
      <alignment horizontal="right" vertical="center"/>
    </xf>
    <xf numFmtId="44" fontId="2" fillId="0" borderId="39" xfId="0" applyNumberFormat="1" applyFont="1" applyFill="1" applyBorder="1" applyAlignment="1">
      <alignment vertical="center"/>
    </xf>
    <xf numFmtId="44" fontId="0" fillId="0" borderId="39" xfId="0" applyNumberFormat="1" applyBorder="1" applyAlignment="1">
      <alignment horizontal="right"/>
    </xf>
    <xf numFmtId="44" fontId="2" fillId="0" borderId="64" xfId="0" applyNumberFormat="1" applyFont="1" applyFill="1" applyBorder="1" applyAlignment="1">
      <alignment vertical="center"/>
    </xf>
    <xf numFmtId="44" fontId="0" fillId="0" borderId="64" xfId="0" applyNumberFormat="1" applyBorder="1" applyAlignment="1">
      <alignment horizontal="right"/>
    </xf>
    <xf numFmtId="0" fontId="16" fillId="0" borderId="39" xfId="0" applyFont="1" applyFill="1" applyBorder="1" applyAlignment="1">
      <alignment horizontal="right"/>
    </xf>
    <xf numFmtId="0" fontId="0" fillId="0" borderId="39" xfId="0" applyFont="1" applyFill="1" applyBorder="1" applyAlignment="1">
      <alignment horizontal="left"/>
    </xf>
    <xf numFmtId="44" fontId="0" fillId="0" borderId="39" xfId="0" applyNumberFormat="1" applyFont="1" applyFill="1" applyBorder="1" applyAlignment="1">
      <alignment horizontal="left"/>
    </xf>
    <xf numFmtId="1" fontId="0" fillId="0" borderId="38" xfId="0" applyNumberFormat="1" applyFont="1" applyFill="1" applyBorder="1"/>
    <xf numFmtId="44" fontId="0" fillId="0" borderId="64" xfId="0" applyNumberFormat="1" applyFont="1" applyFill="1" applyBorder="1" applyAlignment="1">
      <alignment horizontal="left"/>
    </xf>
    <xf numFmtId="0" fontId="0" fillId="0" borderId="70" xfId="0" applyFont="1" applyFill="1" applyBorder="1" applyAlignment="1">
      <alignment horizontal="right"/>
    </xf>
    <xf numFmtId="164" fontId="3" fillId="0" borderId="38" xfId="1" applyNumberFormat="1" applyFont="1" applyFill="1" applyBorder="1" applyAlignment="1">
      <alignment horizontal="center"/>
    </xf>
    <xf numFmtId="44" fontId="0" fillId="0" borderId="5" xfId="0" applyNumberFormat="1" applyFont="1" applyFill="1" applyBorder="1" applyAlignment="1"/>
    <xf numFmtId="44" fontId="0" fillId="0" borderId="74" xfId="0" applyNumberFormat="1" applyFont="1" applyFill="1" applyBorder="1" applyAlignment="1">
      <alignment horizontal="right"/>
    </xf>
    <xf numFmtId="0" fontId="0" fillId="0" borderId="46" xfId="0" applyNumberFormat="1" applyFont="1" applyFill="1" applyBorder="1" applyAlignment="1">
      <alignment horizontal="right"/>
    </xf>
    <xf numFmtId="44" fontId="0" fillId="0" borderId="54" xfId="4" applyNumberFormat="1" applyFont="1" applyFill="1" applyBorder="1" applyAlignment="1">
      <alignment horizontal="right"/>
    </xf>
    <xf numFmtId="44" fontId="0" fillId="0" borderId="25" xfId="4" applyNumberFormat="1" applyFont="1" applyFill="1" applyBorder="1" applyAlignment="1">
      <alignment horizontal="right"/>
    </xf>
    <xf numFmtId="0" fontId="0" fillId="0" borderId="0" xfId="0" applyFont="1" applyFill="1" applyBorder="1"/>
    <xf numFmtId="0" fontId="0" fillId="0" borderId="31" xfId="0" applyFont="1" applyFill="1" applyBorder="1"/>
    <xf numFmtId="2" fontId="0" fillId="0" borderId="38" xfId="4" applyNumberFormat="1" applyFont="1" applyFill="1" applyBorder="1"/>
  </cellXfs>
  <cellStyles count="11">
    <cellStyle name="Currency" xfId="4" builtinId="4"/>
    <cellStyle name="Hyperlink" xfId="3" builtinId="8"/>
    <cellStyle name="Normal" xfId="0" builtinId="0"/>
    <cellStyle name="Normal 10" xfId="7" xr:uid="{1A05A15D-E406-4886-9653-AB9179F4E3CE}"/>
    <cellStyle name="Normal 2" xfId="8" xr:uid="{4DD04BFA-33C3-43C5-A6EF-0B890AC96338}"/>
    <cellStyle name="Normal 3" xfId="5" xr:uid="{69E74520-CECA-4D6B-9197-FE51F17C9C6C}"/>
    <cellStyle name="Normal 3 2" xfId="9" xr:uid="{D4819A95-B213-41D2-A054-0F812853C93A}"/>
    <cellStyle name="Normal 4" xfId="1" xr:uid="{909EA7D3-DD22-48E2-BF6E-6D2AFA02C5AF}"/>
    <cellStyle name="Normal 5" xfId="10" xr:uid="{15713069-271B-4DCE-A755-0929D5A3B37C}"/>
    <cellStyle name="Normal_4Q05ASP_Bkg_030306_221PM" xfId="6" xr:uid="{6A9D1181-8C96-4C99-9E57-39268630A587}"/>
    <cellStyle name="Normal_4Q05ASP_Bkg_030306_221PM 2" xfId="2" xr:uid="{03647946-9F27-4F58-B37D-FA50A723BFC8}"/>
  </cellStyles>
  <dxfs count="2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numFmt numFmtId="164" formatCode="0.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1"/>
        <color theme="1"/>
        <name val="Calibri"/>
        <family val="2"/>
        <scheme val="minor"/>
      </font>
      <numFmt numFmtId="164" formatCode="0.000"/>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fill>
        <patternFill patternType="solid">
          <fgColor indexed="64"/>
          <bgColor rgb="FF002060"/>
        </patternFill>
      </fill>
    </dxf>
    <dxf>
      <fill>
        <patternFill patternType="solid">
          <fgColor indexed="64"/>
          <bgColor rgb="FF002060"/>
        </patternFill>
      </fill>
    </dxf>
    <dxf>
      <fill>
        <patternFill patternType="solid">
          <fgColor indexed="64"/>
          <bgColor rgb="FF002060"/>
        </patternFill>
      </fill>
    </dxf>
    <dxf>
      <fill>
        <patternFill patternType="solid">
          <fgColor indexed="64"/>
          <bgColor rgb="FF002060"/>
        </patternFill>
      </fill>
    </dxf>
    <dxf>
      <font>
        <b val="0"/>
        <i val="0"/>
        <strike val="0"/>
        <condense val="0"/>
        <extend val="0"/>
        <outline val="0"/>
        <shadow val="0"/>
        <u val="none"/>
        <vertAlign val="baseline"/>
        <sz val="10"/>
        <color theme="1"/>
        <name val="Arial"/>
        <family val="2"/>
        <scheme val="none"/>
      </font>
      <numFmt numFmtId="164" formatCode="0.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color theme="0"/>
      </font>
      <fill>
        <patternFill patternType="solid">
          <fgColor indexed="64"/>
          <bgColor rgb="FF002060"/>
        </patternFill>
      </fill>
    </dxf>
    <dxf>
      <font>
        <b val="0"/>
        <i val="0"/>
        <strike val="0"/>
        <condense val="0"/>
        <extend val="0"/>
        <outline val="0"/>
        <shadow val="0"/>
        <u val="none"/>
        <vertAlign val="baseline"/>
        <sz val="10"/>
        <color theme="1"/>
        <name val="Arial"/>
        <family val="2"/>
        <scheme val="none"/>
      </font>
      <numFmt numFmtId="164" formatCode="0.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left"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1"/>
        <color rgb="FFFFFFFF"/>
        <name val="Calibri"/>
        <family val="2"/>
        <scheme val="none"/>
      </font>
      <fill>
        <patternFill patternType="solid">
          <fgColor indexed="64"/>
          <bgColor rgb="FF002060"/>
        </patternFill>
      </fill>
      <alignment horizontal="general"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family val="2"/>
        <scheme val="none"/>
      </font>
      <numFmt numFmtId="164" formatCode="0.000"/>
      <fill>
        <patternFill patternType="none">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164" formatCode="0.000"/>
      <fill>
        <patternFill patternType="none">
          <bgColor auto="1"/>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0" formatCode="General"/>
      <fill>
        <patternFill patternType="none">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numFmt numFmtId="0" formatCode="General"/>
      <fill>
        <patternFill patternType="none">
          <bgColor auto="1"/>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0" formatCode="General"/>
      <fill>
        <patternFill patternType="none">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rgb="FFFFF2CC"/>
          <bgColor rgb="FFD9D9D9"/>
        </patternFill>
      </fill>
    </dxf>
    <dxf>
      <border outline="0">
        <top style="medium">
          <color indexed="64"/>
        </top>
        <bottom style="thin">
          <color indexed="64"/>
        </bottom>
      </border>
    </dxf>
    <dxf>
      <fill>
        <patternFill patternType="none">
          <bgColor auto="1"/>
        </patternFill>
      </fill>
    </dxf>
    <dxf>
      <border outline="0">
        <bottom style="medium">
          <color indexed="64"/>
        </bottom>
      </border>
    </dxf>
    <dxf>
      <font>
        <b/>
        <i val="0"/>
        <strike val="0"/>
        <condense val="0"/>
        <extend val="0"/>
        <outline val="0"/>
        <shadow val="0"/>
        <u val="none"/>
        <vertAlign val="baseline"/>
        <sz val="11"/>
        <color rgb="FFFFFFFF"/>
        <name val="Calibri"/>
        <family val="2"/>
        <scheme val="none"/>
      </font>
      <fill>
        <patternFill patternType="solid">
          <fgColor indexed="64"/>
          <bgColor rgb="FF002060"/>
        </patternFill>
      </fill>
      <alignment horizontal="general" vertical="center" textRotation="0" wrapText="1" indent="0" justifyLastLine="0" shrinkToFit="0" readingOrder="0"/>
    </dxf>
    <dxf>
      <numFmt numFmtId="164" formatCode="0.000"/>
      <fill>
        <patternFill patternType="none">
          <bgColor auto="1"/>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bgColor auto="1"/>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bgColor auto="1"/>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ill>
        <patternFill patternType="none">
          <bgColor auto="1"/>
        </patternFill>
      </fill>
    </dxf>
    <dxf>
      <border outline="0">
        <bottom style="thin">
          <color indexed="64"/>
        </bottom>
      </border>
    </dxf>
    <dxf>
      <font>
        <strike val="0"/>
        <outline val="0"/>
        <shadow val="0"/>
        <u val="none"/>
        <vertAlign val="baseline"/>
        <sz val="10"/>
        <color theme="0"/>
        <name val="Arial"/>
        <family val="2"/>
        <scheme val="none"/>
      </font>
      <fill>
        <patternFill patternType="solid">
          <fgColor indexed="64"/>
          <bgColor rgb="FF002060"/>
        </patternFill>
      </fill>
    </dxf>
    <dxf>
      <font>
        <strike val="0"/>
        <outline val="0"/>
        <shadow val="0"/>
        <u val="none"/>
        <vertAlign val="baseline"/>
        <sz val="11"/>
        <color theme="0"/>
        <name val="Calibri"/>
        <family val="2"/>
        <scheme val="minor"/>
      </font>
      <fill>
        <patternFill patternType="solid">
          <fgColor indexed="64"/>
          <bgColor rgb="FF002060"/>
        </patternFill>
      </fill>
    </dxf>
    <dxf>
      <font>
        <strike val="0"/>
        <outline val="0"/>
        <shadow val="0"/>
        <u val="none"/>
        <vertAlign val="baseline"/>
        <sz val="11"/>
        <color theme="0"/>
        <name val="Calibri"/>
        <family val="2"/>
        <scheme val="minor"/>
      </font>
      <fill>
        <patternFill patternType="solid">
          <fgColor indexed="64"/>
          <bgColor rgb="FF002060"/>
        </patternFill>
      </fill>
    </dxf>
    <dxf>
      <numFmt numFmtId="164" formatCode="0.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0"/>
        <color theme="0"/>
        <name val="Arial"/>
        <family val="2"/>
        <scheme val="none"/>
      </font>
      <fill>
        <patternFill patternType="solid">
          <fgColor indexed="64"/>
          <bgColor rgb="FF002060"/>
        </patternFill>
      </fill>
    </dxf>
    <dxf>
      <font>
        <b val="0"/>
        <i val="0"/>
        <strike val="0"/>
        <condense val="0"/>
        <extend val="0"/>
        <outline val="0"/>
        <shadow val="0"/>
        <u val="none"/>
        <vertAlign val="baseline"/>
        <sz val="10"/>
        <color auto="1"/>
        <name val="Arial"/>
        <family val="2"/>
        <scheme val="none"/>
      </font>
      <numFmt numFmtId="164" formatCode="0.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color theme="0"/>
      </font>
      <fill>
        <patternFill patternType="solid">
          <fgColor indexed="64"/>
          <bgColor rgb="FF002060"/>
        </patternFill>
      </fill>
    </dxf>
    <dxf>
      <font>
        <b val="0"/>
        <i val="0"/>
        <strike val="0"/>
        <condense val="0"/>
        <extend val="0"/>
        <outline val="0"/>
        <shadow val="0"/>
        <u val="none"/>
        <vertAlign val="baseline"/>
        <sz val="10"/>
        <color auto="1"/>
        <name val="Arial"/>
        <family val="2"/>
        <scheme val="none"/>
      </font>
      <numFmt numFmtId="164" formatCode="0.000"/>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0"/>
        <color theme="0"/>
        <name val="Arial"/>
        <family val="2"/>
        <scheme val="none"/>
      </font>
    </dxf>
    <dxf>
      <font>
        <b val="0"/>
        <i val="0"/>
        <strike val="0"/>
        <condense val="0"/>
        <extend val="0"/>
        <outline val="0"/>
        <shadow val="0"/>
        <u val="none"/>
        <vertAlign val="baseline"/>
        <sz val="10"/>
        <color auto="1"/>
        <name val="Arial"/>
        <family val="2"/>
        <scheme val="none"/>
      </font>
      <numFmt numFmtId="164" formatCode="0.000"/>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dxf>
    <dxf>
      <font>
        <b val="0"/>
        <i val="0"/>
        <strike val="0"/>
        <condense val="0"/>
        <extend val="0"/>
        <outline val="0"/>
        <shadow val="0"/>
        <u val="none"/>
        <vertAlign val="baseline"/>
        <sz val="11"/>
        <color theme="1"/>
        <name val="Calibri"/>
        <family val="2"/>
        <scheme val="minor"/>
      </font>
      <numFmt numFmtId="34" formatCode="_(&quot;$&quot;* #,##0.00_);_(&quot;$&quot;* \(#,##0.00\);_(&quot;$&quot;* &quot;-&quot;??_);_(@_)"/>
    </dxf>
    <dxf>
      <font>
        <b val="0"/>
        <i val="0"/>
        <strike val="0"/>
        <condense val="0"/>
        <extend val="0"/>
        <outline val="0"/>
        <shadow val="0"/>
        <u val="none"/>
        <vertAlign val="baseline"/>
        <sz val="11"/>
        <color theme="1"/>
        <name val="Calibri"/>
        <family val="2"/>
        <scheme val="minor"/>
      </font>
      <numFmt numFmtId="34" formatCode="_(&quot;$&quot;* #,##0.00_);_(&quot;$&quot;* \(#,##0.00\);_(&quot;$&quot;* &quot;-&quot;??_);_(@_)"/>
    </dxf>
    <dxf>
      <font>
        <b val="0"/>
        <i val="0"/>
        <strike val="0"/>
        <condense val="0"/>
        <extend val="0"/>
        <outline val="0"/>
        <shadow val="0"/>
        <u val="none"/>
        <vertAlign val="baseline"/>
        <sz val="11"/>
        <color theme="1"/>
        <name val="Calibri"/>
        <family val="2"/>
        <scheme val="minor"/>
      </font>
      <numFmt numFmtId="34" formatCode="_(&quot;$&quot;* #,##0.00_);_(&quot;$&quot;* \(#,##0.00\);_(&quot;$&quot;* &quot;-&quot;??_);_(@_)"/>
    </dxf>
    <dxf>
      <font>
        <b val="0"/>
        <i val="0"/>
        <strike val="0"/>
        <condense val="0"/>
        <extend val="0"/>
        <outline val="0"/>
        <shadow val="0"/>
        <u val="none"/>
        <vertAlign val="baseline"/>
        <sz val="11"/>
        <color theme="1"/>
        <name val="Calibri"/>
        <family val="2"/>
        <scheme val="minor"/>
      </font>
      <numFmt numFmtId="34" formatCode="_(&quot;$&quot;* #,##0.00_);_(&quot;$&quot;* \(#,##0.00\);_(&quot;$&quot;* &quot;-&quot;??_);_(@_)"/>
    </dxf>
    <dxf>
      <font>
        <b val="0"/>
        <i val="0"/>
        <strike val="0"/>
        <condense val="0"/>
        <extend val="0"/>
        <outline val="0"/>
        <shadow val="0"/>
        <u val="none"/>
        <vertAlign val="baseline"/>
        <sz val="11"/>
        <color theme="1"/>
        <name val="Calibri"/>
        <family val="2"/>
        <scheme val="minor"/>
      </font>
      <numFmt numFmtId="34" formatCode="_(&quot;$&quot;* #,##0.00_);_(&quot;$&quot;* \(#,##0.00\);_(&quot;$&quot;* &quot;-&quot;??_);_(@_)"/>
    </dxf>
    <dxf>
      <fill>
        <patternFill patternType="none">
          <fgColor indexed="64"/>
          <bgColor auto="1"/>
        </patternFill>
      </fill>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outline="0">
        <left style="thin">
          <color theme="1"/>
        </left>
        <right/>
        <top style="thin">
          <color theme="1"/>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style="thin">
          <color theme="1"/>
        </right>
        <top style="thin">
          <color theme="1"/>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val="0"/>
        <i val="0"/>
        <strike val="0"/>
        <condense val="0"/>
        <extend val="0"/>
        <outline val="0"/>
        <shadow val="0"/>
        <u val="none"/>
        <vertAlign val="baseline"/>
        <sz val="11"/>
        <color theme="1"/>
        <name val="Calibri"/>
        <family val="2"/>
        <scheme val="minor"/>
      </font>
      <border diagonalUp="0" diagonalDown="0">
        <left style="thin">
          <color theme="1"/>
        </left>
        <right/>
        <top style="thin">
          <color theme="1"/>
        </top>
        <bottom/>
        <vertical/>
        <horizontal/>
      </border>
    </dxf>
    <dxf>
      <font>
        <b/>
        <i val="0"/>
        <strike val="0"/>
        <condense val="0"/>
        <extend val="0"/>
        <outline val="0"/>
        <shadow val="0"/>
        <u val="none"/>
        <vertAlign val="baseline"/>
        <sz val="11"/>
        <color rgb="FFFFFFFF"/>
        <name val="Calibri"/>
        <family val="2"/>
        <scheme val="none"/>
      </font>
      <fill>
        <patternFill patternType="solid">
          <fgColor indexed="64"/>
          <bgColor theme="9" tint="-0.499984740745262"/>
        </patternFill>
      </fill>
      <alignment horizontal="general" vertical="center" textRotation="0" wrapText="1" indent="0" justifyLastLine="0" shrinkToFit="0" readingOrder="0"/>
    </dxf>
    <dxf>
      <border diagonalUp="0" diagonalDown="0">
        <left/>
        <right style="medium">
          <color indexed="64"/>
        </right>
        <top/>
        <bottom/>
        <vertical/>
        <horizontal/>
      </border>
    </dxf>
    <dxf>
      <border diagonalUp="0" diagonalDown="0">
        <top/>
        <bottom/>
        <horizontal/>
      </border>
    </dxf>
    <dxf>
      <border diagonalUp="0" diagonalDown="0">
        <left style="medium">
          <color indexed="64"/>
        </left>
        <top/>
        <bottom/>
        <horizontal/>
      </border>
    </dxf>
    <dxf>
      <numFmt numFmtId="34" formatCode="_(&quot;$&quot;* #,##0.00_);_(&quot;$&quot;* \(#,##0.00\);_(&quot;$&quot;* &quot;-&quot;??_);_(@_)"/>
    </dxf>
    <dxf>
      <border diagonalUp="0" diagonalDown="0">
        <left style="medium">
          <color auto="1"/>
        </left>
        <vertical/>
      </border>
    </dxf>
    <dxf>
      <border diagonalUp="0" diagonalDown="0"/>
    </dxf>
    <dxf>
      <border diagonalUp="0" diagonalDown="0">
        <left style="medium">
          <color auto="1"/>
        </left>
      </border>
    </dxf>
    <dxf>
      <border diagonalUp="0" diagonalDown="0"/>
    </dxf>
    <dxf>
      <border diagonalUp="0" diagonalDown="0">
        <left style="medium">
          <color indexed="64"/>
        </left>
      </border>
    </dxf>
    <dxf>
      <border diagonalUp="0" diagonalDown="0"/>
    </dxf>
    <dxf>
      <border diagonalUp="0" diagonalDown="0" outline="0">
        <left style="thin">
          <color indexed="64"/>
        </left>
      </border>
    </dxf>
    <dxf>
      <numFmt numFmtId="0" formatCode="General"/>
      <fill>
        <patternFill patternType="none">
          <fgColor indexed="64"/>
          <bgColor auto="1"/>
        </patternFill>
      </fill>
      <alignment horizontal="left" vertical="bottom" textRotation="0" wrapText="0" indent="0" justifyLastLine="0" shrinkToFit="0" readingOrder="0"/>
      <border diagonalUp="0" diagonalDown="0">
        <left/>
        <right style="thin">
          <color indexed="64"/>
        </right>
      </border>
    </dxf>
    <dxf>
      <numFmt numFmtId="34" formatCode="_(&quot;$&quot;* #,##0.00_);_(&quot;$&quot;* \(#,##0.00\);_(&quot;$&quot;* &quot;-&quot;??_);_(@_)"/>
      <fill>
        <patternFill patternType="none">
          <fgColor indexed="64"/>
          <bgColor auto="1"/>
        </patternFill>
      </fill>
      <alignment horizontal="left" vertical="bottom" textRotation="0" wrapText="0" indent="0" justifyLastLine="0" shrinkToFit="0" readingOrder="0"/>
    </dxf>
    <dxf>
      <numFmt numFmtId="34" formatCode="_(&quot;$&quot;* #,##0.00_);_(&quot;$&quot;* \(#,##0.00\);_(&quot;$&quot;* &quot;-&quot;??_);_(@_)"/>
      <fill>
        <patternFill patternType="none">
          <fgColor indexed="64"/>
          <bgColor auto="1"/>
        </patternFill>
      </fill>
      <alignment horizontal="left" vertical="bottom" textRotation="0" wrapText="0" indent="0" justifyLastLine="0" shrinkToFit="0" readingOrder="0"/>
    </dxf>
    <dxf>
      <numFmt numFmtId="0" formatCode="General"/>
      <fill>
        <patternFill patternType="none">
          <fgColor indexed="64"/>
          <bgColor auto="1"/>
        </patternFill>
      </fill>
      <alignment horizontal="right" vertical="bottom" textRotation="0" wrapText="0" indent="0" justifyLastLine="0" shrinkToFit="0" readingOrder="0"/>
    </dxf>
    <dxf>
      <numFmt numFmtId="0" formatCode="General"/>
      <fill>
        <patternFill patternType="none">
          <fgColor indexed="64"/>
          <bgColor auto="1"/>
        </patternFill>
      </fill>
      <alignment horizontal="left" vertical="bottom" textRotation="0" wrapText="0" indent="0" justifyLastLine="0" shrinkToFit="0" readingOrder="0"/>
    </dxf>
    <dxf>
      <numFmt numFmtId="0" formatCode="General"/>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border>
    </dxf>
    <dxf>
      <numFmt numFmtId="0" formatCode="General"/>
      <fill>
        <patternFill patternType="none">
          <fgColor indexed="64"/>
          <bgColor auto="1"/>
        </patternFill>
      </fill>
      <alignment horizontal="left" vertical="bottom" textRotation="0" wrapText="0" indent="0" justifyLastLine="0" shrinkToFit="0" readingOrder="0"/>
      <border outline="0">
        <right style="thin">
          <color indexed="64"/>
        </right>
      </border>
    </dxf>
    <dxf>
      <numFmt numFmtId="34" formatCode="_(&quot;$&quot;* #,##0.00_);_(&quot;$&quot;* \(#,##0.00\);_(&quot;$&quot;* &quot;-&quot;??_);_(@_)"/>
      <fill>
        <patternFill patternType="none">
          <fgColor indexed="64"/>
          <bgColor auto="1"/>
        </patternFill>
      </fill>
    </dxf>
    <dxf>
      <numFmt numFmtId="34" formatCode="_(&quot;$&quot;* #,##0.00_);_(&quot;$&quot;* \(#,##0.00\);_(&quot;$&quot;* &quot;-&quot;??_);_(@_)"/>
      <fill>
        <patternFill patternType="none">
          <fgColor indexed="64"/>
          <bgColor auto="1"/>
        </patternFill>
      </fill>
    </dxf>
    <dxf>
      <numFmt numFmtId="0" formatCode="General"/>
      <fill>
        <patternFill patternType="none">
          <fgColor indexed="64"/>
          <bgColor auto="1"/>
        </patternFill>
      </fill>
    </dxf>
    <dxf>
      <numFmt numFmtId="0" formatCode="General"/>
      <fill>
        <patternFill patternType="none">
          <fgColor indexed="64"/>
          <bgColor auto="1"/>
        </patternFill>
      </fill>
      <alignment horizontal="left" vertical="bottom" textRotation="0" wrapText="0" indent="0" justifyLastLine="0" shrinkToFit="0" readingOrder="0"/>
    </dxf>
    <dxf>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border>
    </dxf>
    <dxf>
      <border outline="0">
        <right style="thin">
          <color indexed="64"/>
        </right>
      </border>
    </dxf>
    <dxf>
      <numFmt numFmtId="34" formatCode="_(&quot;$&quot;* #,##0.00_);_(&quot;$&quot;* \(#,##0.00\);_(&quot;$&quot;* &quot;-&quot;??_);_(@_)"/>
    </dxf>
    <dxf>
      <numFmt numFmtId="34" formatCode="_(&quot;$&quot;* #,##0.00_);_(&quot;$&quot;* \(#,##0.00\);_(&quot;$&quot;* &quot;-&quot;??_);_(@_)"/>
    </dxf>
    <dxf>
      <border diagonalUp="0" diagonalDown="0">
        <right style="medium">
          <color indexed="64"/>
        </right>
        <vertical/>
      </border>
    </dxf>
    <dxf>
      <border diagonalUp="0" diagonalDown="0">
        <left/>
        <right style="medium">
          <color indexed="64"/>
        </right>
        <top/>
        <bottom/>
        <vertical/>
        <horizontal/>
      </border>
    </dxf>
    <dxf>
      <border diagonalUp="0" diagonalDown="0">
        <left/>
        <right style="medium">
          <color indexed="64"/>
        </right>
        <top/>
        <bottom/>
        <vertical/>
        <horizontal/>
      </border>
    </dxf>
    <dxf>
      <numFmt numFmtId="0" formatCode="General"/>
    </dxf>
    <dxf>
      <border outline="0">
        <bottom style="medium">
          <color theme="6"/>
        </bottom>
      </border>
    </dxf>
    <dxf>
      <font>
        <b/>
        <i val="0"/>
        <strike val="0"/>
        <condense val="0"/>
        <extend val="0"/>
        <outline val="0"/>
        <shadow val="0"/>
        <u val="none"/>
        <vertAlign val="baseline"/>
        <sz val="11"/>
        <color rgb="FFFFFFFF"/>
        <name val="Calibri"/>
        <family val="2"/>
        <scheme val="none"/>
      </font>
      <fill>
        <patternFill patternType="solid">
          <fgColor indexed="64"/>
          <bgColor rgb="FF002060"/>
        </patternFill>
      </fill>
      <alignment horizontal="general" vertical="center" textRotation="0" wrapText="1" indent="0" justifyLastLine="0" shrinkToFit="0" readingOrder="0"/>
      <border diagonalUp="0" diagonalDown="0" outline="0">
        <left style="thin">
          <color theme="6"/>
        </left>
        <right style="thin">
          <color theme="6"/>
        </right>
        <top/>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style="thin">
          <color theme="6"/>
        </left>
        <right style="thin">
          <color theme="6"/>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2" formatCode="0.00"/>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style="medium">
          <color indexed="64"/>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bottom"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style="medium">
          <color indexed="64"/>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style="medium">
          <color indexed="64"/>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style="thin">
          <color theme="6"/>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left style="thin">
          <color theme="6"/>
        </left>
        <right style="thin">
          <color indexed="64"/>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outline="0">
        <left/>
        <right style="thin">
          <color theme="6"/>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style="medium">
          <color indexed="64"/>
        </left>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left style="thin">
          <color theme="6"/>
        </left>
        <right style="medium">
          <color indexed="64"/>
        </right>
        <top/>
        <bottom/>
        <vertical style="thin">
          <color theme="6"/>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left/>
        <right style="thin">
          <color theme="6"/>
        </right>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left style="thin">
          <color theme="6"/>
        </left>
        <right style="thin">
          <color indexed="64"/>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left/>
        <right style="thin">
          <color theme="6"/>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style="medium">
          <color indexed="64"/>
        </left>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auto="1"/>
        </patternFill>
      </fill>
      <border diagonalUp="0" diagonalDown="0">
        <left style="medium">
          <color indexed="64"/>
        </left>
        <right style="medium">
          <color indexed="64"/>
        </right>
        <top style="thin">
          <color theme="6"/>
        </top>
        <bottom style="thin">
          <color theme="6"/>
        </bottom>
        <vertic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right/>
        <top style="thin">
          <color theme="6"/>
        </top>
        <bottom style="thin">
          <color theme="6"/>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alignment horizontal="general" vertical="bottom"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5" formatCode="#,##0_);\(#,##0\)"/>
      <fill>
        <patternFill patternType="none">
          <fgColor indexed="64"/>
          <bgColor indexed="65"/>
        </patternFill>
      </fill>
      <alignment horizontal="right" vertical="bottom"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style="thin">
          <color indexed="64"/>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1" formatCode="0"/>
      <fill>
        <patternFill patternType="none">
          <fgColor indexed="64"/>
          <bgColor indexed="65"/>
        </patternFill>
      </fill>
      <border diagonalUp="0" diagonalDown="0">
        <left/>
        <right/>
        <top style="thin">
          <color theme="6"/>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style="thin">
          <color indexed="64"/>
        </right>
        <top style="thin">
          <color theme="6"/>
        </top>
        <bottom/>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style="thin">
          <color indexed="64"/>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right"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style="thin">
          <color indexed="64"/>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right"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style="thin">
          <color indexed="64"/>
        </right>
        <top style="thin">
          <color theme="6"/>
        </top>
        <bottom/>
        <vertical/>
        <horizontal/>
      </border>
    </dxf>
    <dxf>
      <font>
        <b val="0"/>
        <i val="0"/>
        <strike val="0"/>
        <condense val="0"/>
        <extend val="0"/>
        <outline val="0"/>
        <shadow val="0"/>
        <u val="none"/>
        <vertAlign val="baseline"/>
        <sz val="11"/>
        <color theme="1"/>
        <name val="Calibri"/>
        <family val="2"/>
        <scheme val="minor"/>
      </font>
      <numFmt numFmtId="34" formatCode="_(&quot;$&quot;* #,##0.00_);_(&quot;$&quot;* \(#,##0.00\);_(&quot;$&quot;* &quot;-&quot;??_);_(@_)"/>
      <fill>
        <patternFill patternType="none">
          <fgColor indexed="64"/>
          <bgColor indexed="65"/>
        </patternFill>
      </fill>
      <border diagonalUp="0" diagonalDown="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right" textRotation="0" wrapText="0" indent="0" justifyLastLine="0" shrinkToFit="0" readingOrder="0"/>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border diagonalUp="0" diagonalDown="0" outline="0">
        <left style="thin">
          <color theme="6"/>
        </left>
        <right style="thin">
          <color indexed="64"/>
        </right>
        <top style="thin">
          <color theme="6"/>
        </top>
        <bottom style="thin">
          <color theme="6"/>
        </bottom>
      </border>
    </dxf>
    <dxf>
      <border outline="0">
        <top style="thin">
          <color theme="6"/>
        </top>
      </border>
    </dxf>
    <dxf>
      <border outline="0">
        <bottom style="thin">
          <color theme="6"/>
        </bottom>
      </border>
    </dxf>
    <dxf>
      <fill>
        <patternFill patternType="none">
          <fgColor indexed="64"/>
          <bgColor auto="1"/>
        </patternFill>
      </fill>
    </dxf>
    <dxf>
      <border outline="0">
        <bottom style="medium">
          <color theme="6"/>
        </bottom>
      </border>
    </dxf>
    <dxf>
      <font>
        <b/>
        <i val="0"/>
        <strike val="0"/>
        <condense val="0"/>
        <extend val="0"/>
        <outline val="0"/>
        <shadow val="0"/>
        <u val="none"/>
        <vertAlign val="baseline"/>
        <sz val="11"/>
        <color rgb="FFFFFFFF"/>
        <name val="Calibri"/>
        <family val="2"/>
        <scheme val="none"/>
      </font>
      <fill>
        <patternFill patternType="solid">
          <fgColor indexed="64"/>
          <bgColor rgb="FF581175"/>
        </patternFill>
      </fill>
      <alignment horizontal="general" vertical="center" textRotation="0" wrapText="1" indent="0" justifyLastLine="0" shrinkToFit="0" readingOrder="0"/>
    </dxf>
  </dxfs>
  <tableStyles count="0" defaultTableStyle="TableStyleMedium2" defaultPivotStyle="PivotStyleLight16"/>
  <colors>
    <mruColors>
      <color rgb="FF002060"/>
      <color rgb="FFCCCCFF"/>
      <color rgb="FF5811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91FD32F-7DB7-4689-A35C-EB65C5770440}" name="Table5" displayName="Table5" ref="A2:BV174" totalsRowShown="0" headerRowDxfId="249" dataDxfId="247" headerRowBorderDxfId="248" tableBorderDxfId="246" totalsRowBorderDxfId="245">
  <autoFilter ref="A2:BV174" xr:uid="{79E06B0C-EBF6-44C8-A55A-BBE27DEA37B7}"/>
  <sortState xmlns:xlrd2="http://schemas.microsoft.com/office/spreadsheetml/2017/richdata2" ref="A3:BV174">
    <sortCondition ref="A2:A174"/>
  </sortState>
  <tableColumns count="74">
    <tableColumn id="1" xr3:uid="{B5816C06-12B4-471E-8C53-2E58F3086A2C}" name="Unique Drugs All ROA" dataDxfId="244"/>
    <tableColumn id="64" xr3:uid="{997D7756-628D-4843-943B-2894BA468FFF}" name="HCPCS code 2016 Q1" dataDxfId="243"/>
    <tableColumn id="63" xr3:uid="{D37533B7-B209-4B00-BFF6-E4260534983A}" name="HCPCS code dosage 2016Q1" dataDxfId="242"/>
    <tableColumn id="62" xr3:uid="{1841D79B-9421-4AF4-9094-0E6A78E2D67F}" name="HCPCS code dosage unit 2016Q1" dataDxfId="241"/>
    <tableColumn id="61" xr3:uid="{F0AF2385-1258-4ED5-93BB-9464CBC7131E}" name="Payment Limit 2016Q1" dataDxfId="240">
      <calculatedColumnFormula>IFERROR(VLOOKUP(Table5[[#This Row],[HCPCS code 2016 Q1]], ASP2016Q1[], 4, FALSE), "")</calculatedColumnFormula>
    </tableColumn>
    <tableColumn id="60" xr3:uid="{88A4E428-B624-4DF4-8B06-F0269451C2FA}" name="Payment limit per unit 2016Q1" dataDxfId="239">
      <calculatedColumnFormula>IFERROR(Table5[[#This Row],[Payment Limit 2016Q1]]/Table5[[#This Row],[HCPCS code dosage 2016Q1]], "")</calculatedColumnFormula>
    </tableColumn>
    <tableColumn id="59" xr3:uid="{774A0A4B-C90E-4EBC-B5B1-4867C7510DAC}" name="HCPCS code 2016 Q3" dataDxfId="238"/>
    <tableColumn id="58" xr3:uid="{DD73EEFC-33F9-4B62-A1DC-BA194D1F6D2A}" name="HCPCS code dosage 2016Q3" dataDxfId="237"/>
    <tableColumn id="57" xr3:uid="{ED345C2F-6F2B-45D1-B680-E1F8BEE7A536}" name="HCPCS code dosage unit 2016Q3" dataDxfId="236"/>
    <tableColumn id="56" xr3:uid="{FB3BDE08-4102-4458-83DD-DE0BBED5DE44}" name="Payment Limit 2016Q3" dataDxfId="235">
      <calculatedColumnFormula>IFERROR(VLOOKUP(Table5[[#This Row],[HCPCS code 2016 Q3]], ASP2016Q3[], 4, FALSE), "")</calculatedColumnFormula>
    </tableColumn>
    <tableColumn id="55" xr3:uid="{72B33F73-0729-40BF-A5A2-5AB8CC4F21A3}" name="Payment limit per unit 2016Q3" dataDxfId="234">
      <calculatedColumnFormula>IFERROR(Table5[[#This Row],[Payment Limit 2016Q3]]/Table5[[#This Row],[HCPCS code dosage 2016Q3]], "")</calculatedColumnFormula>
    </tableColumn>
    <tableColumn id="54" xr3:uid="{D3E818C2-9A46-41E2-AE32-EB44D80610C8}" name="HCPCS code 2017 Q1" dataDxfId="233"/>
    <tableColumn id="53" xr3:uid="{4E18F0D5-1A4E-48E2-A6DC-39397AF6DF05}" name="HCPCS code dosage 2017Q1" dataDxfId="232"/>
    <tableColumn id="52" xr3:uid="{1473AD40-3D76-4DB8-AC50-5EAD824FB914}" name="HCPCS code dosage unit 2017Q1" dataDxfId="231"/>
    <tableColumn id="51" xr3:uid="{7B9FE724-5D88-4792-AEBE-B36547D2D584}" name="Payment Limit 2017Q1" dataDxfId="230">
      <calculatedColumnFormula>IFERROR(VLOOKUP(Table5[[#This Row],[HCPCS code 2017 Q1]], ASP2017Q1[], 4, FALSE), "")</calculatedColumnFormula>
    </tableColumn>
    <tableColumn id="45" xr3:uid="{4882BDA7-8CF8-4D68-85FF-14C40BEC04E0}" name="Payment limit per unit 2017Q1" dataDxfId="229">
      <calculatedColumnFormula>IFERROR(Table5[[#This Row],[Payment Limit 2017Q1]]/Table5[[#This Row],[HCPCS code dosage 2017Q1]], "")</calculatedColumnFormula>
    </tableColumn>
    <tableColumn id="46" xr3:uid="{CDB1AA4B-5F2C-41DD-BF3D-748605EB29B8}" name="HCPCS code 2017 Q3" dataDxfId="228"/>
    <tableColumn id="47" xr3:uid="{96C9E56E-432B-4D0F-B06D-23C4C0DF0541}" name="HCPCS code dosage 2017Q3" dataDxfId="227"/>
    <tableColumn id="48" xr3:uid="{CF3DE5F0-AAE8-447B-AF51-3D1FAF1B6122}" name="HCPCS code dosage unit 2017Q3" dataDxfId="226"/>
    <tableColumn id="49" xr3:uid="{5F89D9B0-9DBA-4BAF-BB8E-7EF90639F5AA}" name="Payment Limit 2017Q3" dataDxfId="225">
      <calculatedColumnFormula>IFERROR(VLOOKUP(Table5[[#This Row],[HCPCS code 2017 Q3]], ASP2017Q3[], 4, FALSE), "")</calculatedColumnFormula>
    </tableColumn>
    <tableColumn id="50" xr3:uid="{993D76C7-2A98-4B92-B859-FC42D0CBF9C8}" name="Payment limit per unit 2017Q3" dataDxfId="224">
      <calculatedColumnFormula>IFERROR(Table5[[#This Row],[Payment Limit 2017Q3]]/Table5[[#This Row],[HCPCS code dosage 2017Q3]], "")</calculatedColumnFormula>
    </tableColumn>
    <tableColumn id="71" xr3:uid="{FE0D032D-9A76-4619-813B-AB3821BD79FD}" name="HCPCS code 2018 Q1" dataDxfId="223"/>
    <tableColumn id="70" xr3:uid="{1BE6C4CB-8C4D-4F4B-A719-DC502E0A3623}" name="HCPCS code dosage 2018 Q1" dataDxfId="222"/>
    <tableColumn id="69" xr3:uid="{E7B089F7-BB1A-4FFD-BD30-F5E1F91B7FE4}" name="HCPCS code dosage unit 2018 Q1" dataDxfId="221"/>
    <tableColumn id="68" xr3:uid="{D86AC41A-2383-4BB6-9AAD-79CD5C9CFCE7}" name="Payment Limit 2018 Q1" dataDxfId="220"/>
    <tableColumn id="67" xr3:uid="{6B0BC90D-A40C-4729-8031-167B4A27BFEB}" name="Payment limit per unit 2018 Q1" dataDxfId="219">
      <calculatedColumnFormula>IFERROR(Table5[[#This Row],[Payment Limit 2018 Q1]]/Table5[[#This Row],[HCPCS code dosage 2018 Q1]],"")</calculatedColumnFormula>
    </tableColumn>
    <tableColumn id="76" xr3:uid="{6F2A2051-8B36-4AC5-928C-3618A9C9D0AC}" name="HCPCS code 2018 Q3" dataDxfId="218"/>
    <tableColumn id="75" xr3:uid="{6B9390FA-06A3-41B5-963C-D5A1BAD15A8B}" name="HCPCS code dosage 2018 Q3" dataDxfId="217"/>
    <tableColumn id="74" xr3:uid="{F083FDE0-A24C-4876-B334-C1C1A03B4D14}" name="HCPCS code dosage unit 2018 Q3" dataDxfId="216"/>
    <tableColumn id="73" xr3:uid="{792200B9-5CB7-4694-9645-A08D6F7D417A}" name="Payment Limit 2018 Q3" dataDxfId="215"/>
    <tableColumn id="72" xr3:uid="{3E7AD4C5-04A6-4018-9F7F-C5A7E2472D91}" name="Payment limit per unit 2018 Q3" dataDxfId="214">
      <calculatedColumnFormula>IFERROR(Table5[[#This Row],[Payment Limit 2018 Q3]]/Table5[[#This Row],[HCPCS code dosage 2018 Q3]],"")</calculatedColumnFormula>
    </tableColumn>
    <tableColumn id="20" xr3:uid="{8A1CC781-C37D-4B71-B871-B3A1E4A0AC89}" name="HCPCS code 2019Q1" dataDxfId="213"/>
    <tableColumn id="6" xr3:uid="{518F64CE-A12A-43B8-B430-AA4ABB0D9D1F}" name="Payment limit per unit 2019Q1." dataDxfId="212" dataCellStyle="Currency"/>
    <tableColumn id="18" xr3:uid="{308D18F0-E6F8-4EFB-9CA6-508D2041D416}" name="HCPCS code 2019Q3" dataDxfId="211" dataCellStyle="Currency"/>
    <tableColumn id="17" xr3:uid="{B17C76CD-D02A-48DD-A8DF-20E187BF1F01}" name="HCPCS code dosage 2019Q3" dataDxfId="210" dataCellStyle="Currency"/>
    <tableColumn id="19" xr3:uid="{F38A01AE-4E2A-4B29-ABE9-503865841441}" name="HCPCS code dosage unit 2019Q3" dataDxfId="209" dataCellStyle="Currency"/>
    <tableColumn id="7" xr3:uid="{17902FA0-473A-4941-8DDF-89EDF09FD7F8}" name="Payment Limit 2019Q3" dataDxfId="208" dataCellStyle="Currency">
      <calculatedColumnFormula>IFERROR(VLOOKUP(Table5[[#This Row],[HCPCS code 2019Q3]], ASP2019Q3[], 4, FALSE), "")</calculatedColumnFormula>
    </tableColumn>
    <tableColumn id="8" xr3:uid="{71B58335-A76A-455F-9822-46B129E823FD}" name="Payment limit per unit 2019Q3" dataDxfId="207" dataCellStyle="Currency">
      <calculatedColumnFormula>IFERROR(Table5[[#This Row],[Payment Limit 2019Q3]]/Table5[[#This Row],[HCPCS code dosage 2019Q3]], "")</calculatedColumnFormula>
    </tableColumn>
    <tableColumn id="23" xr3:uid="{1C0201CF-42F8-4CD6-BFF6-8E1FFBF221A6}" name="HCPCS code 2020Q1" dataDxfId="206" dataCellStyle="Currency"/>
    <tableColumn id="22" xr3:uid="{46C249DC-E842-4FDE-A0EC-25993D4ACABA}" name="HCPCS code dosage 2020Q1" dataDxfId="205" dataCellStyle="Currency"/>
    <tableColumn id="21" xr3:uid="{DF288987-6C63-4603-880E-D68ACAF9F194}" name="HCPCS code dosage unit 2020Q1" dataDxfId="204" dataCellStyle="Currency"/>
    <tableColumn id="9" xr3:uid="{BC7750E2-CECD-427F-A232-17BD455C58B0}" name="Payment Limit 2020Q1" dataDxfId="203" dataCellStyle="Currency">
      <calculatedColumnFormula>IFERROR(VLOOKUP(Table5[[#This Row],[HCPCS code 2020Q1]], ASP2020Q1[], 4, FALSE), "")</calculatedColumnFormula>
    </tableColumn>
    <tableColumn id="10" xr3:uid="{6F50FDD9-BF00-41B6-B4F9-961A3069D1B5}" name="Payment limit per unit 2020Q12" dataDxfId="202" dataCellStyle="Currency">
      <calculatedColumnFormula>IFERROR(Table5[[#This Row],[Payment Limit 2020Q1]]/Table5[[#This Row],[HCPCS code dosage 2020Q1]], "")</calculatedColumnFormula>
    </tableColumn>
    <tableColumn id="26" xr3:uid="{7E41C1A6-E7D8-47C4-B7C5-49F8F3AEB989}" name="HCPCS code 2020Q3" dataDxfId="201" dataCellStyle="Currency"/>
    <tableColumn id="25" xr3:uid="{EEFE47E3-7ADB-4A77-B339-1E1345684211}" name="HCPCS code dosage 2020Q3" dataDxfId="200" dataCellStyle="Currency"/>
    <tableColumn id="24" xr3:uid="{FD51B180-D23C-4972-9B16-7DE3870768D1}" name="HCPCS code dosage unit 2020Q3" dataDxfId="199" dataCellStyle="Currency"/>
    <tableColumn id="11" xr3:uid="{0C5AA99E-0099-456F-A004-0F423A871368}" name="Payment limit 2020Q3" dataDxfId="198" dataCellStyle="Currency">
      <calculatedColumnFormula>IFERROR(VLOOKUP(Table5[[#This Row],[HCPCS code 2020Q3]], ASP2020Q3[], 4, FALSE), "")</calculatedColumnFormula>
    </tableColumn>
    <tableColumn id="12" xr3:uid="{4DBA0867-E427-478C-AE42-BAE961E8F06A}" name="Payment limit per unit 2020Q3" dataDxfId="197" dataCellStyle="Currency">
      <calculatedColumnFormula>IFERROR(Table5[[#This Row],[Payment limit 2020Q3]]/Table5[[#This Row],[HCPCS code dosage 2020Q3]],"")</calculatedColumnFormula>
    </tableColumn>
    <tableColumn id="14" xr3:uid="{1AE70EBC-E664-4AB0-85AD-2E4C92908986}" name="HCPCS code 2021Q1" dataDxfId="196" dataCellStyle="Currency"/>
    <tableColumn id="5" xr3:uid="{4EB60D24-BD63-4965-92BD-2C853F2B9565}" name="HCPCS code dosage 2021Q1" dataDxfId="195" dataCellStyle="Currency"/>
    <tableColumn id="4" xr3:uid="{011D0A02-A5AE-4BD4-A60E-5F8B98708772}" name="HCPCS code dosage unit 2021Q1" dataDxfId="194" dataCellStyle="Currency"/>
    <tableColumn id="3" xr3:uid="{519405FA-28A9-41F0-94A8-DCBE8D26B6E8}" name="Payment limit 2021Q1" dataDxfId="193" dataCellStyle="Currency">
      <calculatedColumnFormula>IFERROR(VLOOKUP(Table5[[#This Row],[HCPCS code 2021Q1]], ASP2021Q1[], 4, FALSE), "")</calculatedColumnFormula>
    </tableColumn>
    <tableColumn id="2" xr3:uid="{1F3E281F-82A5-4811-A79F-C4CEEFEB7C7A}" name="Payment limit per unit 2021Q1" dataDxfId="192" dataCellStyle="Currency">
      <calculatedColumnFormula>IFERROR(Table5[[#This Row],[Payment limit 2021Q1]]/Table5[[#This Row],[HCPCS code dosage 2021Q1]], "")</calculatedColumnFormula>
    </tableColumn>
    <tableColumn id="29" xr3:uid="{14DD8448-1F1C-40FC-A6F6-954F664A96D4}" name="HCPCS code 2021Q3" dataDxfId="191" dataCellStyle="Currency"/>
    <tableColumn id="28" xr3:uid="{FC4BA898-C7F5-408C-B0E0-51E30D7B3949}" name="HCPCS code dosage 2021Q3" dataDxfId="190" dataCellStyle="Currency"/>
    <tableColumn id="27" xr3:uid="{7F790BA5-2EFC-46A1-9245-95CA22C6FE37}" name="HCPCS code dosage unit 2021Q3" dataDxfId="189" dataCellStyle="Currency"/>
    <tableColumn id="16" xr3:uid="{0A04A7B5-9E45-4BC8-915C-34B493220624}" name="Payment limit 2021Q3" dataDxfId="188" dataCellStyle="Currency">
      <calculatedColumnFormula>IFERROR(VLOOKUP(Table5[[#This Row],[HCPCS code 2021Q3]], ASP2021Q3[], 4, FALSE), "")</calculatedColumnFormula>
    </tableColumn>
    <tableColumn id="15" xr3:uid="{54D34DAF-E7E0-40B0-A431-BB8C0CC92D46}" name="Payment limit per unit 2021Q3" dataDxfId="187" dataCellStyle="Currency">
      <calculatedColumnFormula>IFERROR(Table5[[#This Row],[Payment limit 2021Q3]]/Table5[[#This Row],[HCPCS code dosage 2021Q3]], "")</calculatedColumnFormula>
    </tableColumn>
    <tableColumn id="34" xr3:uid="{6AA57382-375E-4878-A3E4-D7D51DF9B32B}" name="HCPCS code 2022Q1" dataDxfId="186" dataCellStyle="Currency"/>
    <tableColumn id="33" xr3:uid="{3A81F0C3-7AC5-4ACC-8120-FEF550061FE0}" name="HCPCS code dosage 2022Q1" dataDxfId="185" dataCellStyle="Currency"/>
    <tableColumn id="32" xr3:uid="{BABBD3EB-4E0A-4585-B509-138300A10063}" name="HCPCS code dosage unit 2022Q1" dataDxfId="184" dataCellStyle="Currency"/>
    <tableColumn id="31" xr3:uid="{84FB6BFC-E682-4576-9D31-4AC6A2BFB8C5}" name="Payment limit 2022Q1" dataDxfId="183" dataCellStyle="Currency">
      <calculatedColumnFormula>IFERROR(VLOOKUP(Table5[[#This Row],[HCPCS code 2022Q1]], ASP2022Q1[], 4, FALSE), "")</calculatedColumnFormula>
    </tableColumn>
    <tableColumn id="30" xr3:uid="{04B420AA-8FBD-41A7-A09C-B531EFFF7709}" name="Payment limit per unit 2022Q1" dataDxfId="182" dataCellStyle="Currency">
      <calculatedColumnFormula>IFERROR(Table5[[#This Row],[Payment limit 2022Q1]]/Table5[[#This Row],[HCPCS code dosage 2022Q1]], "")</calculatedColumnFormula>
    </tableColumn>
    <tableColumn id="36" xr3:uid="{EAD1A9F0-BBA5-49B1-BD44-AE09396D0FCB}" name="HCPCS Code 2022Q3" dataDxfId="181" dataCellStyle="Currency"/>
    <tableColumn id="37" xr3:uid="{AD8ED867-CDD8-4A13-BB52-6ECF126C9680}" name="HCPCS code dosage 2022Q3" dataDxfId="180" dataCellStyle="Currency"/>
    <tableColumn id="38" xr3:uid="{4B0FF059-5190-4231-A922-930C354030DF}" name="HCPCS code dosage unit 2022Q3" dataDxfId="179" dataCellStyle="Currency"/>
    <tableColumn id="39" xr3:uid="{D04C011D-6EFD-4F72-B0EC-7749D69E2F91}" name="Payment limit 2022Q3" dataDxfId="178" dataCellStyle="Currency">
      <calculatedColumnFormula>IFERROR(VLOOKUP(Table5[[#This Row],[HCPCS Code 2022Q3]], ASP2022Q3[], 4, FALSE), "")</calculatedColumnFormula>
    </tableColumn>
    <tableColumn id="40" xr3:uid="{7096235B-9FD1-4017-81DE-3CA1308FFFDD}" name="Payment limit per unit 2022Q32" dataDxfId="177" dataCellStyle="Currency">
      <calculatedColumnFormula>IFERROR(Table5[[#This Row],[Payment limit 2022Q3]]/Table5[[#This Row],[HCPCS code dosage 2022Q3]], "")</calculatedColumnFormula>
    </tableColumn>
    <tableColumn id="44" xr3:uid="{48BCB478-C4D2-4E13-A30A-0711E3C62F19}" name="HCPCS Code 2023Q1" dataDxfId="176" dataCellStyle="Currency"/>
    <tableColumn id="43" xr3:uid="{794C538F-1679-4777-AC5C-52EDEF5F60F5}" name="HCPCS code dosage 2023Q1" dataDxfId="175" dataCellStyle="Currency"/>
    <tableColumn id="42" xr3:uid="{14AD1497-29B3-4AB7-813C-4B750B0F882E}" name="HCPCS code dosage unit 2023Q1" dataDxfId="174" dataCellStyle="Currency"/>
    <tableColumn id="41" xr3:uid="{1140BE33-ECED-4F7F-A9D6-30314CEF588E}" name="Payment limit 2023Q1" dataDxfId="173" dataCellStyle="Currency"/>
    <tableColumn id="35" xr3:uid="{805681AD-E607-439F-A1CB-7B66EF0E87C1}" name="Payment limit per unit 2023Q1" dataDxfId="172" dataCellStyle="Currency">
      <calculatedColumnFormula>IFERROR(Table5[[#This Row],[Payment limit 2023Q1]]/Table5[[#This Row],[HCPCS code dosage 2023Q1]], "")</calculatedColumnFormula>
    </tableColumn>
    <tableColumn id="13" xr3:uid="{0404C12B-07C5-4DFB-88E8-9C4744244204}" name="Notes" dataDxfId="171"/>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B4A7CD1-3526-4CC6-9540-2C6B814145C9}" name="ASP2019Q1" displayName="ASP2019Q1" ref="A1:D567" totalsRowShown="0" headerRowDxfId="76" dataDxfId="74" headerRowBorderDxfId="75" tableBorderDxfId="73">
  <autoFilter ref="A1:D567" xr:uid="{35EB965F-67E7-47B2-9E82-BB56BD587092}"/>
  <tableColumns count="4">
    <tableColumn id="1" xr3:uid="{21CE0922-F059-48C4-A27A-82F3C102949B}" name="HCPCS Code" dataDxfId="72" dataCellStyle="Normal 4"/>
    <tableColumn id="2" xr3:uid="{3EACB129-ABEA-420B-9E7D-E7CE2EBF842F}" name="Short Description" dataDxfId="71" dataCellStyle="Normal 4"/>
    <tableColumn id="3" xr3:uid="{9E43D019-7771-494A-AC4B-87504285163E}" name="HCPCS Code Dosage" dataDxfId="70" dataCellStyle="Normal 4"/>
    <tableColumn id="4" xr3:uid="{4DE08FEB-66C9-44EB-9F8E-29D4DDF95365}" name="Payment Limit" dataDxfId="69" dataCellStyle="Normal 4"/>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1582057-8182-4822-A524-C037CAE7DE62}" name="ASP2019Q3" displayName="ASP2019Q3" ref="A1:E591" totalsRowShown="0" headerRowDxfId="68" dataDxfId="66" headerRowBorderDxfId="67" tableBorderDxfId="65">
  <autoFilter ref="A1:E591" xr:uid="{E8F7005F-2FE4-4195-912E-722B5B639448}"/>
  <sortState xmlns:xlrd2="http://schemas.microsoft.com/office/spreadsheetml/2017/richdata2" ref="A2:E591">
    <sortCondition sortBy="cellColor" ref="A1:A591" dxfId="64"/>
  </sortState>
  <tableColumns count="5">
    <tableColumn id="1" xr3:uid="{ED20FB7A-CE93-4215-B500-E54095218C6F}" name="HCPCS Code" dataDxfId="63" dataCellStyle="Normal 4"/>
    <tableColumn id="2" xr3:uid="{42B16216-1040-448C-BFF6-E40FBFD0E64D}" name="Short Description" dataDxfId="62" dataCellStyle="Normal 4"/>
    <tableColumn id="3" xr3:uid="{9A3F840F-1E84-41C7-9480-8A1E3E56B6BF}" name="HCPCS Code Dosage" dataDxfId="61" dataCellStyle="Normal 4"/>
    <tableColumn id="4" xr3:uid="{146CF706-D752-42EA-9E8E-944BB8070744}" name="Payment Limit" dataDxfId="60" dataCellStyle="Normal 4"/>
    <tableColumn id="5" xr3:uid="{363390B2-25D8-43DB-AAF9-56E39BE1DEF2}" name="Column1" dataDxfId="59" dataCellStyle="Normal 4"/>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36748CE-55DF-4BA7-A3EA-B196D3DF7196}" name="ASP2020Q1" displayName="ASP2020Q1" ref="A1:D608" totalsRowShown="0" headerRowDxfId="58" headerRowBorderDxfId="57" tableBorderDxfId="56">
  <autoFilter ref="A1:D608" xr:uid="{2DE6CE4E-249A-451C-B1E0-A4D2FE11C585}"/>
  <tableColumns count="4">
    <tableColumn id="1" xr3:uid="{D52823B2-C514-4164-BC33-DC11D851A4B4}" name="HCPCS Code" dataDxfId="55"/>
    <tableColumn id="2" xr3:uid="{DFDEDB06-2F40-47C0-B55B-E7A8AF1F57DF}" name="Short Description" dataDxfId="54"/>
    <tableColumn id="3" xr3:uid="{5833C39E-3D50-40D4-A67F-888C4133AB0B}" name="HCPCS Code Dosage" dataDxfId="53"/>
    <tableColumn id="4" xr3:uid="{BD34DBB6-F736-4E0D-A8C3-503F207F62E4}" name="Payment Limit" dataDxfId="52"/>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D4F4F5-B6D0-462D-8800-FAC263EB4EE1}" name="ASP2020Q3" displayName="ASP2020Q3" ref="A1:D617" totalsRowShown="0" headerRowDxfId="51" headerRowBorderDxfId="50" tableBorderDxfId="49">
  <autoFilter ref="A1:D617" xr:uid="{DD4140DF-A5AB-4EBB-9791-4857637D736A}"/>
  <tableColumns count="4">
    <tableColumn id="1" xr3:uid="{5C735B75-3590-4DEA-8F4B-1AE0330EE9D3}" name="HCPCS Code" dataDxfId="48"/>
    <tableColumn id="2" xr3:uid="{CACCC707-966E-4BC2-93C6-187B6ADFE7D8}" name="Short Description" dataDxfId="47"/>
    <tableColumn id="3" xr3:uid="{C859122E-19CF-41AE-B7D7-90ED7644809F}" name="HCPCS Code Dosage" dataDxfId="46"/>
    <tableColumn id="4" xr3:uid="{6E01A188-8C46-477E-9ED4-0B150079C430}" name="Payment Limit" dataDxfId="45"/>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4B14B89-91D7-4C3E-A015-8A9B6DF34BC7}" name="ASP2021Q1" displayName="ASP2021Q1" ref="A1:D633" totalsRowShown="0" headerRowDxfId="44">
  <autoFilter ref="A1:D633" xr:uid="{480A67B0-9832-4E3C-834D-66F96D75FEB2}"/>
  <tableColumns count="4">
    <tableColumn id="1" xr3:uid="{BEDCC8D8-351F-498A-8D48-FED939007A0F}" name="HCPCS Code"/>
    <tableColumn id="2" xr3:uid="{36681D30-9ADB-48D5-AF43-8C70D8C9ED5E}" name="Short Description"/>
    <tableColumn id="3" xr3:uid="{1B49361B-EDA0-42C1-92D0-3217D225D29A}" name="HCPCS Code Dosage"/>
    <tableColumn id="4" xr3:uid="{47A73FF3-845E-4D56-ACB0-67C28B02938B}" name="Payment Limit"/>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989107D-DED9-4367-895D-98E30BF634CE}" name="ASP2021Q3" displayName="ASP2021Q3" ref="A1:D641" totalsRowShown="0" headerRowDxfId="43">
  <autoFilter ref="A1:D641" xr:uid="{A45E0695-DBA5-442D-A8F3-255B4011EE32}"/>
  <tableColumns count="4">
    <tableColumn id="1" xr3:uid="{E8896071-33A1-472E-AE19-B794904D6AB4}" name="HCPCS Code"/>
    <tableColumn id="2" xr3:uid="{EB8C4FF0-77A1-40C8-96EA-90B451E051F6}" name="Short Description"/>
    <tableColumn id="3" xr3:uid="{D2A5A0BB-B6E6-44EE-9A31-57D0A9241F6B}" name="HCPCS Code Dosage"/>
    <tableColumn id="4" xr3:uid="{4632D64E-E429-4CAB-947E-EC54568E92B5}" name="Payment Limit"/>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A77B845-AB76-4221-999B-8154063AC26C}" name="ASP2022Q1" displayName="ASP2022Q1" ref="A1:D644" totalsRowShown="0" headerRowDxfId="42">
  <autoFilter ref="A1:D644" xr:uid="{69CE6047-F133-486E-AB9D-8A77FA4481B5}"/>
  <tableColumns count="4">
    <tableColumn id="1" xr3:uid="{307777F8-F699-4A5C-9DD7-59FAA17A32A6}" name="HCPCS Code"/>
    <tableColumn id="2" xr3:uid="{A1DECF30-2E53-4ACE-B6BA-D4E3FF897F62}" name="Short Description"/>
    <tableColumn id="3" xr3:uid="{ABAB87E7-006A-4812-9B00-6523C50CD1D9}" name="HCPCS Code Dosage"/>
    <tableColumn id="4" xr3:uid="{E77C15D8-D73E-48F4-909C-E080625BBC8A}" name="Payment Limit"/>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D111A756-EBFD-40AF-85C3-3ED7D7F8041C}" name="ASP2022Q3" displayName="ASP2022Q3" ref="A1:D659" totalsRowShown="0" headerRowDxfId="41" dataDxfId="40">
  <autoFilter ref="A1:D659" xr:uid="{5AFCB88A-C540-47AE-9A97-90CEC8272CD2}"/>
  <tableColumns count="4">
    <tableColumn id="1" xr3:uid="{0142E8A2-DC50-485A-9627-9BBE94D994C6}" name="HCPCS Code" dataDxfId="39"/>
    <tableColumn id="2" xr3:uid="{DE901ED5-8266-49A9-AC33-A14BD6C50274}" name="Short Description" dataDxfId="38"/>
    <tableColumn id="3" xr3:uid="{1A5C086B-5404-4804-9C12-E9D201B8FEE4}" name="HCPCS Code Dosage" dataDxfId="37"/>
    <tableColumn id="4" xr3:uid="{5DB8F536-8AE0-4365-A70D-F4C13AC1CA24}" name="Payment Limit" dataDxfId="36"/>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4BED73D-AFFE-47DF-83ED-8B6A5BE2D0B0}" name="ASP2023Q1" displayName="ASP2023Q1" ref="A9:J747" totalsRowShown="0" dataDxfId="34" headerRowBorderDxfId="35" tableBorderDxfId="33">
  <autoFilter ref="A9:J747" xr:uid="{34BED73D-AFFE-47DF-83ED-8B6A5BE2D0B0}"/>
  <tableColumns count="10">
    <tableColumn id="1" xr3:uid="{08DC01E0-42AC-43B7-9BAC-1872C7B53B1C}" name="HCPCS Code" dataDxfId="32"/>
    <tableColumn id="2" xr3:uid="{A915287C-40B5-4584-9D08-1A2386D7BE15}" name="Short Description" dataDxfId="31"/>
    <tableColumn id="3" xr3:uid="{56B6B758-28D0-4D2C-BB45-9045A7FAE305}" name="HCPCS Code Dosage" dataDxfId="30"/>
    <tableColumn id="4" xr3:uid="{16BBCACA-8F0F-408D-A446-5659F06B0902}" name="Payment Limit" dataDxfId="29"/>
    <tableColumn id="5" xr3:uid="{611049AB-E64E-4EB1-AF8F-DAF12F88B288}" name="Vaccine AWP%" dataDxfId="28"/>
    <tableColumn id="6" xr3:uid="{50D962D6-BB5D-4738-864A-02D64F8CB318}" name="Vaccine Limit" dataDxfId="27"/>
    <tableColumn id="7" xr3:uid="{FB0389F2-7E29-4961-B8B9-FCE50A14279E}" name="Blood AWP%" dataDxfId="26"/>
    <tableColumn id="8" xr3:uid="{885E1587-043A-4AF8-85FB-CA3C2AFA4773}" name="Blood limit" dataDxfId="25"/>
    <tableColumn id="9" xr3:uid="{42BCD0A6-261E-4554-91DB-84BD335EEFA6}" name="Clotting Factor" dataDxfId="24"/>
    <tableColumn id="10" xr3:uid="{A5977DC3-2D26-4002-A528-53C7315A6CF0}" name="Notes" dataDxfId="2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6E85695-D78D-46EB-A7A6-33E035CB21D6}" name="Table6" displayName="Table6" ref="A2:CN113" totalsRowShown="0" headerRowDxfId="170" headerRowBorderDxfId="169">
  <autoFilter ref="A2:CN113" xr:uid="{13067A83-63D8-4894-AE54-6BDDB18B0EBE}"/>
  <tableColumns count="92">
    <tableColumn id="1" xr3:uid="{2B981BAC-C2A0-4CCB-B17C-8213DFE9A1C5}" name="Unique Drugs All ROA"/>
    <tableColumn id="78" xr3:uid="{205E938C-0AF8-4AA1-BEC9-A05878FF8A34}" name="NDC (Jan 2016)"/>
    <tableColumn id="89" xr3:uid="{AFE69D3D-BA60-4C6B-95E3-AE48DCE09369}" name="Redbook name (brand or generic) (Jan 2016)"/>
    <tableColumn id="79" xr3:uid="{1685D7D6-F80B-4BD4-B713-16194AE82F70}" name="Redbook package strength (mg) (Jan 2016)"/>
    <tableColumn id="80" xr3:uid="{AE762AE6-2212-4F40-B1FA-C1454ABA1335}" name="Redbook WAC price per tablet/capsule (Jan 2016)"/>
    <tableColumn id="81" xr3:uid="{E3068C49-AC02-4E17-90DD-F5119BDD3DA1}" name="Redbook WAC price per unit (Jan 2016)" dataDxfId="168">
      <calculatedColumnFormula>IFERROR(Table6[[#This Row],[Redbook WAC price per tablet/capsule (Jan 2016)]]/Table6[[#This Row],[Redbook package strength (mg) (Jan 2016)]], "")</calculatedColumnFormula>
    </tableColumn>
    <tableColumn id="82" xr3:uid="{75D8DEC3-9A5C-4C2F-8F30-D37A6BC40BD2}" name="Redbook Unit (Jan 2016)" dataDxfId="167"/>
    <tableColumn id="83" xr3:uid="{0459AF61-ECDD-4D8E-941A-E7080231A7D9}" name="NDC (Jul 2016)"/>
    <tableColumn id="84" xr3:uid="{9E7BF415-BAEB-46ED-BC6D-D966AB1F753E}" name="Redbook name (brand or generic) (Jul 2016)"/>
    <tableColumn id="85" xr3:uid="{78BC14AB-1778-4F2E-BE0C-DF8B50B8CE0F}" name="Redbook package strength (mg) (Jul 2016)"/>
    <tableColumn id="86" xr3:uid="{9A67F878-2419-4068-9D04-B49C58FCC8BB}" name="Redbook WAC price per tablet/capsule (Jul 2016)"/>
    <tableColumn id="87" xr3:uid="{CEFA1EFE-12BB-45DE-8D5F-B748E0438201}" name="Redbook WAC price per unit (Jul 2016)">
      <calculatedColumnFormula>IFERROR(Table6[[#This Row],[Redbook WAC price per tablet/capsule (Jul 2016)]]/Table6[[#This Row],[Redbook package strength (mg) (Jul 2016)]], "")</calculatedColumnFormula>
    </tableColumn>
    <tableColumn id="88" xr3:uid="{DA25E677-478C-4C16-8E30-38CBB13667D1}" name="Redbook Unit (Jul 2016)" dataDxfId="166"/>
    <tableColumn id="64" xr3:uid="{39F293A3-CAA9-48D1-96FD-58C4BB09568F}" name="NDC (Jan 2017)"/>
    <tableColumn id="65" xr3:uid="{812BE7A8-BB7A-4012-80FB-7251D5901E64}" name="Redbook name (brand or generic) Jan 2017"/>
    <tableColumn id="66" xr3:uid="{96347C6E-1528-4A64-9782-FA0FAEB7B784}" name="Redbook package strength (mg) (Jan 2017)"/>
    <tableColumn id="67" xr3:uid="{A39128F2-8F66-4105-92C6-ADB28C886657}" name="Redbook WAC price per tablet/capsule (Jan 2017)"/>
    <tableColumn id="68" xr3:uid="{74D8A998-2C45-485C-A531-8846FA579939}" name="Redbook WAC price per unit (Jan 2017)">
      <calculatedColumnFormula>IFERROR(Table6[[#This Row],[Redbook WAC price per tablet/capsule (Jan 2017)]]/Table6[[#This Row],[Redbook package strength (mg) (Jan 2017)]], "")</calculatedColumnFormula>
    </tableColumn>
    <tableColumn id="69" xr3:uid="{7014E241-D0D3-4861-8FE7-89659388388B}" name="Redbook Unit (Jan 2017)" dataDxfId="165"/>
    <tableColumn id="59" xr3:uid="{5D35A903-C804-4C34-87A7-1E25E83C6D73}" name="NDC (Jul 2017)"/>
    <tableColumn id="60" xr3:uid="{7EEC0508-C578-4982-9817-2FE42552EDDC}" name="Redbook name (brand or generic) (Jul 2017)"/>
    <tableColumn id="61" xr3:uid="{117D77C2-95EB-471B-B2D5-6424066F4B0F}" name="Redbook package strength (mg) (Jul 2017)"/>
    <tableColumn id="62" xr3:uid="{41185462-46A9-4D18-80A4-0EB195BC8259}" name="Redbook WAC price per tablet/capsule (Jul 2017)" dataDxfId="164"/>
    <tableColumn id="57" xr3:uid="{52B27AA8-824F-4B63-A335-64E6E3F86434}" name="Redbook WAC price per unit (Jul 2017)" dataDxfId="163">
      <calculatedColumnFormula>IFERROR(Table6[[#This Row],[Redbook WAC price per tablet/capsule (Jul 2017)]]/Table6[[#This Row],[Redbook package strength (mg) (Jul 2017)]], "")</calculatedColumnFormula>
    </tableColumn>
    <tableColumn id="63" xr3:uid="{1C8B45A7-A59B-4707-8A5A-F41D5EB08793}" name="Redbook Unit (Jul 2017)" dataDxfId="162"/>
    <tableColumn id="74" xr3:uid="{5AC133F5-3083-4665-BC9B-3FA5390F1C33}" name="NDC (Jan 2018)" dataDxfId="161"/>
    <tableColumn id="73" xr3:uid="{B9D9BD58-949E-4028-A675-8F086BBF9D03}" name="Redbook name (brand or generic) (Jan 2018)" dataDxfId="160"/>
    <tableColumn id="72" xr3:uid="{67820EDC-B9B7-4EDF-8EFD-C095E364D8AA}" name="Redbook package strength (mg) (Jan 2018)" dataDxfId="159"/>
    <tableColumn id="71" xr3:uid="{F35BAA60-FCF1-4848-ABC8-09283189DF79}" name="Redbook WAC price per tablet/capsule (Jan 2018)" dataDxfId="158"/>
    <tableColumn id="70" xr3:uid="{1F75815C-E242-44E7-8A6C-F45CAB943113}" name="Redbook WAC price per unit (Jan 2018)" dataDxfId="157">
      <calculatedColumnFormula>Table6[[#This Row],[Redbook WAC price per tablet/capsule (Jan 2018)]]/Table6[[#This Row],[Redbook package strength (mg) (Jan 2018)]]</calculatedColumnFormula>
    </tableColumn>
    <tableColumn id="58" xr3:uid="{0486511A-4EC7-46EB-8DA5-C3E7BA6C151F}" name="Redbook Unit (Jan 2018)" dataDxfId="156"/>
    <tableColumn id="92" xr3:uid="{74708D16-3B68-4824-B0B5-729AD1154F77}" name="NDC (Jul 2018)" dataDxfId="155"/>
    <tableColumn id="91" xr3:uid="{F29A7E19-FDFD-429C-BE18-3B32F109CF17}" name="Redbook name (brand or generic) (Jul 2018)" dataDxfId="154"/>
    <tableColumn id="90" xr3:uid="{9EE58043-6D63-4B98-AED6-DD1BBC349C38}" name="Redbook package strength (mg) (Jul 2018)" dataDxfId="153"/>
    <tableColumn id="77" xr3:uid="{E904B292-37DD-4FD2-B449-414EEB779906}" name="Redbook WAC price per tablet/capsule (Jul 2018)" dataDxfId="152"/>
    <tableColumn id="76" xr3:uid="{4C8E97F7-42DC-4A63-891E-719DF7C3CB53}" name="Redbook WAC price per unit (Jul 2018)" dataDxfId="151">
      <calculatedColumnFormula>Table6[[#This Row],[Redbook WAC price per tablet/capsule (Jul 2018)]]/Table6[[#This Row],[Redbook package strength (mg) (Jul 2018)]]</calculatedColumnFormula>
    </tableColumn>
    <tableColumn id="75" xr3:uid="{F7135691-635F-4D81-A146-9489CB16B26A}" name="Redbook Unit (Jul 2018)" dataDxfId="150"/>
    <tableColumn id="2" xr3:uid="{6FF831EA-4775-491F-81B3-9F425DC2AD4A}" name="NDC (Jan 2019)" dataDxfId="149"/>
    <tableColumn id="3" xr3:uid="{24833875-6FA0-4DB3-9E9E-ECD26CC71EA2}" name="Redbook name (brand or generic) (Jan 2019)"/>
    <tableColumn id="4" xr3:uid="{9DA62291-E5EB-4904-9563-4B67DBAAD5CA}" name="Redbook package strength (mg) (Jan 2019)"/>
    <tableColumn id="5" xr3:uid="{AEE9E1B6-E52B-4876-85A0-43041C0A07CC}" name="Redbook WAC price per tablet/capsule (Jan 2019)" dataCellStyle="Currency"/>
    <tableColumn id="6" xr3:uid="{11303CA3-23BD-46B1-B946-2C7DBD8FB40E}" name="Redbook WAC price per unit (Jan 2019)" dataCellStyle="Currency">
      <calculatedColumnFormula>IFERROR(Table6[[#This Row],[Redbook WAC price per tablet/capsule (Jan 2019)]]/Table6[[#This Row],[Redbook package strength (mg) (Jan 2019)]], "")</calculatedColumnFormula>
    </tableColumn>
    <tableColumn id="7" xr3:uid="{4648A90F-8A99-4494-9D6A-D1A1C49DDD3D}" name="Redbook Unit (Jan 2019)" dataDxfId="148"/>
    <tableColumn id="8" xr3:uid="{45374611-8834-44C5-B227-053479DFC1B7}" name="NDC (Jul 2019)" dataDxfId="147"/>
    <tableColumn id="9" xr3:uid="{3E4C8592-B548-4D96-9ED6-4597993C4EE8}" name="Redbook name (brand or generic) (Jul 2019)"/>
    <tableColumn id="10" xr3:uid="{5B9637F2-BC43-4971-B95C-8DDB417AD7BB}" name="Redbook package strength (mg) (Jul 2019)"/>
    <tableColumn id="11" xr3:uid="{577E36A1-E32D-47C2-A9A6-4ECCC1167150}" name="Redbook WAC price per tablet/capsule (Jul 2019)" dataCellStyle="Currency"/>
    <tableColumn id="12" xr3:uid="{83DF3520-B036-4289-BE6E-A6E776EE831C}" name="Redbook WAC price per unit (Jul 2019)" dataCellStyle="Currency">
      <calculatedColumnFormula>IFERROR(Table6[[#This Row],[Redbook WAC price per tablet/capsule (Jul 2019)]]/Table6[[#This Row],[Redbook package strength (mg) (Jul 2019)]], "")</calculatedColumnFormula>
    </tableColumn>
    <tableColumn id="13" xr3:uid="{6156A299-F438-48ED-9034-19495F43EF0C}" name="Redbook Unit (Jul 2019)" dataDxfId="146"/>
    <tableColumn id="14" xr3:uid="{CCAB3B65-1BE2-4EAD-B45C-13EAA58809A6}" name="NDC (Jan 2020)"/>
    <tableColumn id="15" xr3:uid="{3C28C34C-6ABC-44DE-ADF3-15565574C0A4}" name="Redbook name (brand or generic) (Jan 2020)"/>
    <tableColumn id="16" xr3:uid="{753A9B12-21B3-402C-A4EC-725256B29C97}" name="Redbook package strength (mg) (Jan 2020)"/>
    <tableColumn id="17" xr3:uid="{90753EC1-7F38-42B5-AACD-3F52999CFFF2}" name="Redbook WAC price per tablet/capsule (Jan 2020)" dataCellStyle="Currency"/>
    <tableColumn id="18" xr3:uid="{354CD11C-556D-452C-8EA2-E91DC450D634}" name="Redbook WAC price per unit (Jan 2020)" dataCellStyle="Currency">
      <calculatedColumnFormula>IFERROR(Table6[[#This Row],[Redbook WAC price per tablet/capsule (Jan 2020)]]/Table6[[#This Row],[Redbook package strength (mg) (Jan 2020)]], "")</calculatedColumnFormula>
    </tableColumn>
    <tableColumn id="19" xr3:uid="{992E6C61-ED28-44F8-A9B0-62C6005D0497}" name="Redbook Unit (Jan 2020)"/>
    <tableColumn id="20" xr3:uid="{A9F706BF-B7AD-4191-97EB-8DF2DBCCEBEE}" name="NDC (Jul 2020)" dataDxfId="145"/>
    <tableColumn id="21" xr3:uid="{40B95AC5-A002-4210-8CF0-515A4C6BDD78}" name="Redbook name (brand or generic) (Jul 2020)"/>
    <tableColumn id="22" xr3:uid="{DAA15964-02E0-4837-8777-076C5587FA55}" name="Redbook package strength (mg) (Jul 2020)"/>
    <tableColumn id="23" xr3:uid="{867E51C4-A0E7-474C-8734-5DC682E8F911}" name="Redbook WAC price per tablet/capsule (Jul 2020)" dataCellStyle="Currency"/>
    <tableColumn id="24" xr3:uid="{7FB526E0-BDB8-4AF2-9422-F548213ADCF3}" name="Redbook WAC price per unit (Jul 2020)" dataCellStyle="Currency">
      <calculatedColumnFormula>IFERROR(Table6[[#This Row],[Redbook WAC price per tablet/capsule (Jul 2020)]]/Table6[[#This Row],[Redbook package strength (mg) (Jul 2020)]], "")</calculatedColumnFormula>
    </tableColumn>
    <tableColumn id="25" xr3:uid="{1634675B-3796-4322-A747-B4F377F04440}" name="Redbook Unit (Jul 2020)" dataDxfId="144"/>
    <tableColumn id="27" xr3:uid="{6518D7E9-DCEE-4BB9-AA96-3B6CE0746F1C}" name="NDC (Jan 2021)"/>
    <tableColumn id="28" xr3:uid="{11E917F7-A9C0-48B3-A09B-DD69B9F0E42A}" name="Redbook name (brand or generic) (Jan 2021)"/>
    <tableColumn id="29" xr3:uid="{9DAE145F-F15F-458D-9333-FD6461A420AD}" name="Redbook package strength (mg) (Jan 2021)"/>
    <tableColumn id="30" xr3:uid="{61FB5869-637B-4F56-B1FB-5BB6154493DD}" name="Redbook WAC price per tablet/capsule (Jan 2021)" dataCellStyle="Currency"/>
    <tableColumn id="31" xr3:uid="{75A4CF61-2A52-4298-BD95-548C771B6EF3}" name="Redbook WAC price per unit (Jan 2021)" dataCellStyle="Currency">
      <calculatedColumnFormula>IFERROR(Table6[[#This Row],[Redbook WAC price per tablet/capsule (Jan 2021)]]/Table6[[#This Row],[Redbook package strength (mg) (Jan 2021)]], "")</calculatedColumnFormula>
    </tableColumn>
    <tableColumn id="32" xr3:uid="{BEFFDEA0-C1D9-4E83-BA46-3899E019C308}" name="Redbook Unit (Jan 2020)2"/>
    <tableColumn id="33" xr3:uid="{CCE1A27F-05FD-4011-979C-93990A6BFDB1}" name="NDC (Jul 2021)" dataDxfId="143"/>
    <tableColumn id="34" xr3:uid="{A63842CC-11B4-40E8-9607-C7E78B198299}" name="Redbook name (brand or generic) (Jul 2021)"/>
    <tableColumn id="35" xr3:uid="{8D0ED54E-1BEC-423E-8904-904DC3FFF068}" name="Redbook package strength (mg) (Jul 2021)"/>
    <tableColumn id="36" xr3:uid="{57C6C94A-8961-45A8-95EB-C3E14B077432}" name="Redbook WAC price per tablet/capsule (Jul 2021)" dataCellStyle="Currency"/>
    <tableColumn id="37" xr3:uid="{92B8B769-2A96-48CF-8313-6D13C0C573F4}" name="Redbook WAC price per unit (Jul 2021)" dataDxfId="142" dataCellStyle="Currency">
      <calculatedColumnFormula>IFERROR(Table6[[#This Row],[Redbook WAC price per tablet/capsule (Jul 2021)]]/Table6[[#This Row],[Redbook package strength (mg) (Jul 2021)]], "")</calculatedColumnFormula>
    </tableColumn>
    <tableColumn id="38" xr3:uid="{B77DBCF8-19E8-4910-9ACB-8E9A418B3F97}" name="Redbook Unit (Jul 2021)"/>
    <tableColumn id="39" xr3:uid="{67749727-8119-43B1-B13C-4975811A7536}" name="NDC (Jan 2022)" dataDxfId="141"/>
    <tableColumn id="40" xr3:uid="{839426FA-4375-4FFB-AF54-B0D0ED085FAB}" name="Redbook name (brand or generic) (Jan 2022)"/>
    <tableColumn id="41" xr3:uid="{923A65D2-2A1D-4218-AA01-359E96D1A05E}" name="Redbook package strength (mg) (Jan 2022)"/>
    <tableColumn id="42" xr3:uid="{BF96A668-356F-473B-94E4-44A905E63E9C}" name="Redbook WAC price per tablet/capsule (Jan 2022)" dataCellStyle="Currency"/>
    <tableColumn id="43" xr3:uid="{9F9D9A9F-08DA-4CE6-9E54-9F9303AF5439}" name="Redbook WAC price per unit (Jan 2022)" dataCellStyle="Currency">
      <calculatedColumnFormula>IFERROR(Table6[[#This Row],[Redbook WAC price per tablet/capsule (Jan 2022)]]/Table6[[#This Row],[Redbook package strength (mg) (Jan 2022)]], "")</calculatedColumnFormula>
    </tableColumn>
    <tableColumn id="44" xr3:uid="{2205F566-1222-4944-806E-D93C51F6BEA9}" name="Redbook Unit (Jan 2022)" dataDxfId="140"/>
    <tableColumn id="45" xr3:uid="{8F6535E5-81EE-48D7-B09C-B7310355DAE6}" name="NDC (Jul 2022)"/>
    <tableColumn id="46" xr3:uid="{653B85CF-8624-4DCA-807A-60B38045EBB2}" name="Redbook name (brand or generic) (Jul 2022)"/>
    <tableColumn id="47" xr3:uid="{5069267B-9DAB-4B50-B83A-8DA1888957AF}" name="Redbook package strength (mg) (Jul 2022)"/>
    <tableColumn id="48" xr3:uid="{51C347E3-B15C-4661-82C0-B91F8D201A9B}" name="Redbook WAC price per tablet/capsule (Jul 2022)" dataCellStyle="Currency"/>
    <tableColumn id="49" xr3:uid="{22FBFE98-CC66-41ED-8250-1D43B1E7C6EB}" name="Redbook WAC price per unit (Jul 2022)" dataCellStyle="Currency">
      <calculatedColumnFormula>IFERROR(Table6[[#This Row],[Redbook WAC price per tablet/capsule (Jul 2022)]]/Table6[[#This Row],[Redbook package strength (mg) (Jul 2022)]], "")</calculatedColumnFormula>
    </tableColumn>
    <tableColumn id="50" xr3:uid="{E74B83CC-BF5B-4EA7-A783-37BB6129E55D}" name="Redbook Unit (Jul 2022)" dataDxfId="139"/>
    <tableColumn id="56" xr3:uid="{44943FA0-B4A6-4A42-97A4-D2749C44EDBE}" name="NDC (Jan 2023)"/>
    <tableColumn id="55" xr3:uid="{82D6831A-9E11-492A-A6AA-E995EBA64736}" name="Redbook name (brand or generic) (Jan 2023)"/>
    <tableColumn id="54" xr3:uid="{D739D528-C125-465C-93D2-3A0CE3104897}" name="Redbook package strength (mg) (Jan 2023)"/>
    <tableColumn id="53" xr3:uid="{7A68B39D-E69A-41D8-8391-5DCDF7BC7434}" name="Redbook WAC price per tablet/capsule (Jan 2023)" dataCellStyle="Currency"/>
    <tableColumn id="52" xr3:uid="{965062F9-F340-49D8-8508-93C6258F978C}" name="Redbook WAC price per unit (Jan 2023)" dataCellStyle="Currency">
      <calculatedColumnFormula>IFERROR(Table6[[#This Row],[Redbook WAC price per tablet/capsule (Jan 2023)]]/Table6[[#This Row],[Redbook package strength (mg) (Jan 2023)]], "")</calculatedColumnFormula>
    </tableColumn>
    <tableColumn id="51" xr3:uid="{09FCBE49-B57A-467A-B10D-C2D6CEFEBE17}" name="Redbook Unit (Jan 2023)"/>
    <tableColumn id="26" xr3:uid="{B14FE6B3-7B84-4A88-AF58-275965FA80A7}" name="Notes"/>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9DE79B2-F488-4117-8ADB-A5AB53131086}" name="Table21" displayName="Table21" ref="A1:CU9" totalsRowShown="0" headerRowDxfId="138">
  <autoFilter ref="A1:CU9" xr:uid="{09DE79B2-F488-4117-8ADB-A5AB53131086}"/>
  <tableColumns count="99">
    <tableColumn id="1" xr3:uid="{05E1FEBE-D6A7-498C-A9F7-987925E2445C}" name="Unique Drugs All ROA"/>
    <tableColumn id="2" xr3:uid="{66B0423F-0C6D-4C53-A850-0061D57257A6}" name="Classification" dataDxfId="137"/>
    <tableColumn id="3" xr3:uid="{06E41B86-59E3-49B0-BD3B-9D3BC74AE139}" name="NDC (Jan 2016)" dataDxfId="136"/>
    <tableColumn id="42" xr3:uid="{B4F09358-A6F0-4D08-BC6B-EAA0876DA25D}" name="HCPCS code (Jan 2016)" dataDxfId="135"/>
    <tableColumn id="4" xr3:uid="{22D06C46-8576-426E-B405-C1BA636F6F22}" name="Redbook name (brand or generic) (Jan 2016)" dataDxfId="134"/>
    <tableColumn id="7" xr3:uid="{5098B4DF-31AD-4C18-B79D-8165C068382D}" name="Redbook WAC price per unit (Jan 2016)" dataDxfId="133"/>
    <tableColumn id="90" xr3:uid="{D5FA5BE1-314F-4BCE-9630-FC5C3E686EA8}" name="Price w/ reimbursement rate (Jan 2016)" dataDxfId="132" dataCellStyle="Currency">
      <calculatedColumnFormula>Table21[[#This Row],[Redbook WAC price per unit (Jan 2016)]] * 1.06</calculatedColumnFormula>
    </tableColumn>
    <tableColumn id="8" xr3:uid="{30186C45-FA37-4FAB-A148-EEC1AA90FB80}" name="Redbook Unit (Jan 2016)" dataDxfId="131"/>
    <tableColumn id="9" xr3:uid="{1F7DAB36-3150-442A-849D-661DB9F425A2}" name="NDC (Jul 2016)"/>
    <tableColumn id="47" xr3:uid="{E1C87D14-831F-4F25-ABE6-9E2C6D593D42}" name="HCPCS code (Jul 2016)" dataDxfId="130"/>
    <tableColumn id="10" xr3:uid="{B1A0298D-5AFA-4BB3-92F4-8AEAF2B84A59}" name="Redbook name (brand or generic) (Jul 2016)"/>
    <tableColumn id="13" xr3:uid="{5946557A-5E54-4599-B109-7548A2F720BB}" name="Redbook WAC price per unit (Jul 2016)"/>
    <tableColumn id="95" xr3:uid="{56568A3B-4206-4276-9599-0AF8660A11CA}" name="Price w/ reimbursement rate (Jul 2016)" dataDxfId="129">
      <calculatedColumnFormula>Table21[[#This Row],[Redbook WAC price per unit (Jul 2016)]] * 1.06</calculatedColumnFormula>
    </tableColumn>
    <tableColumn id="14" xr3:uid="{26E90B23-B419-40ED-8620-59FEC348F47C}" name="Redbook Unit (Jul 2016)"/>
    <tableColumn id="15" xr3:uid="{E9BF0CD2-FC6E-4336-ACB8-E31A8F26A59E}" name="NDC (Jan 2017)"/>
    <tableColumn id="48" xr3:uid="{B4C16748-BBFF-4B80-A4D8-0A096C722248}" name="HCPCS code (Jan 2017)" dataDxfId="128"/>
    <tableColumn id="16" xr3:uid="{20BD5522-FD08-4C98-9516-E725E3B59A25}" name="Redbook name (brand or generic) (Jan 2017)"/>
    <tableColumn id="19" xr3:uid="{992FD4B1-440F-47DB-9C4D-C90155F926B3}" name="Redbook WAC price per unit (Jan 2017)"/>
    <tableColumn id="96" xr3:uid="{112951DB-36F6-4515-AA46-E907F274FFDD}" name="Price w/ reimbursement rate (Jan 2017)" dataDxfId="127">
      <calculatedColumnFormula>Table21[[#This Row],[Redbook WAC price per unit (Jan 2017)]] * 1.06</calculatedColumnFormula>
    </tableColumn>
    <tableColumn id="20" xr3:uid="{3E121B5A-B52E-4E66-B043-4EEA49A8082D}" name="Redbook Unit (Jan 2017)"/>
    <tableColumn id="21" xr3:uid="{8AA388F9-7D39-42D0-BB26-B51372AED48A}" name="NDC (Jul 2017)"/>
    <tableColumn id="53" xr3:uid="{65DF683A-D397-4BAF-BA5F-C55CB9F78E9C}" name="HCPCS code (Jul 2017)" dataDxfId="126"/>
    <tableColumn id="22" xr3:uid="{24B9D18A-119E-4B04-88FB-B4C8BFC87B8F}" name="Redbook name (brand or generic) (Jul 2017)"/>
    <tableColumn id="25" xr3:uid="{FC1B477A-52AC-42B7-83DF-ED90E48A88CA}" name="Redbook WAC price per unit (Jul 2017)"/>
    <tableColumn id="99" xr3:uid="{1F695E54-D907-4426-94E3-F5DA6C2C9484}" name="Price w/ reimbursement rate (Jul 2017)" dataDxfId="125">
      <calculatedColumnFormula>Table21[[#This Row],[Redbook WAC price per unit (Jul 2017)]] * 1.06</calculatedColumnFormula>
    </tableColumn>
    <tableColumn id="26" xr3:uid="{C2F00C73-9B91-4B72-BF52-AE4EDD3CE838}" name="Redbook Unit (Jul 2017)"/>
    <tableColumn id="27" xr3:uid="{161BC273-4217-420F-908B-5B7763339E8E}" name="NDC (Jan 2018)"/>
    <tableColumn id="54" xr3:uid="{A4DBC67E-FD28-4EC3-AF07-C14DD2A189D0}" name="HCPCS code (Jan 2018)" dataDxfId="124"/>
    <tableColumn id="28" xr3:uid="{327CF9E5-D6A0-425D-A92F-DC80F5924609}" name="Redbook name (brand or generic) (Jan 2018)"/>
    <tableColumn id="31" xr3:uid="{24A33121-0A52-429B-B59C-DCA09AFB81CD}" name="Redbook WAC price per unit (Jan 2018)"/>
    <tableColumn id="6" xr3:uid="{F93E076E-2545-465B-BFD1-987EF8C976C0}" name="Price w/ reimbursement rate (Jan 2018)" dataDxfId="123">
      <calculatedColumnFormula>Table21[[#This Row],[Redbook WAC price per unit (Jan 2018)]] * 1.06</calculatedColumnFormula>
    </tableColumn>
    <tableColumn id="32" xr3:uid="{719D3F69-8B4F-49E4-B4AC-B5370BF9FA3D}" name="Redbook Unit (Jan 2018)"/>
    <tableColumn id="33" xr3:uid="{49250A0E-F9F0-4BB9-A30F-0C18798DFA07}" name="NDC (Jul 2018)"/>
    <tableColumn id="59" xr3:uid="{D9237332-6121-43F2-B262-219BC9B2D3CE}" name="HCPCS code (Jul 2018)" dataDxfId="122"/>
    <tableColumn id="34" xr3:uid="{1AC5B1C6-D94F-4D5C-9C80-FB6674626DC0}" name="Redbook name (brand or generic) (Jul 2018)"/>
    <tableColumn id="37" xr3:uid="{14AAEFB2-26D0-45F5-A90F-F146807A70D0}" name="Redbook WAC price per unit (Jul 2018)"/>
    <tableColumn id="11" xr3:uid="{7D022F17-46B8-4F48-8E47-D08346DBCA1A}" name="Price w/ reimbursement rate (Jul 2018)" dataDxfId="121">
      <calculatedColumnFormula>Table21[[#This Row],[Redbook WAC price per unit (Jul 2018)]] * 1.06</calculatedColumnFormula>
    </tableColumn>
    <tableColumn id="38" xr3:uid="{4AAA3D53-9635-4A50-8F4A-7133A81CE1CD}" name="Redbook Unit (Jul 2018)"/>
    <tableColumn id="39" xr3:uid="{3389F729-65DC-48AD-95C3-16F55E835CD5}" name="NDC (Jan 2019)"/>
    <tableColumn id="60" xr3:uid="{54C6F4EB-F47F-42CD-B3CB-B6B21CBB9087}" name="HCPCS code (Jan 2019)" dataDxfId="120"/>
    <tableColumn id="40" xr3:uid="{3FB15BF4-9328-4450-B28A-B2295D155EFA}" name="Redbook name (brand or generic) (Jan 2019)"/>
    <tableColumn id="43" xr3:uid="{4F1E8BA6-1DA8-4FFE-991C-AD8A78FD4097}" name="Redbook WAC price per unit (Jan 2019)"/>
    <tableColumn id="12" xr3:uid="{DE90C9A4-91B5-4006-BCA1-E1E315AED155}" name="Price w/ reimbursement rate (Jan 2019)" dataDxfId="119">
      <calculatedColumnFormula>Table21[[#This Row],[Redbook WAC price per unit (Jan 2019)]] * 1.06</calculatedColumnFormula>
    </tableColumn>
    <tableColumn id="44" xr3:uid="{88E1BE94-4556-45AB-A95F-8D7D8170A0D2}" name="Redbook Unit (Jan 2019)"/>
    <tableColumn id="45" xr3:uid="{D7B2C876-5F00-489E-9072-29ECF517EDDD}" name="NDC (Jul 2019)"/>
    <tableColumn id="65" xr3:uid="{D8D873BD-D5AF-4C41-9B47-F49FCB496BB7}" name="HCPCS code (Jul 2019)" dataDxfId="118"/>
    <tableColumn id="46" xr3:uid="{1D6D77F4-AEB9-45B7-A8AA-48B72A1E082F}" name="Redbook name (brand or generic) (Jul 2019)"/>
    <tableColumn id="49" xr3:uid="{61B0C0CF-CEF2-4F0C-9D66-9F10FB7D26C3}" name="Redbook WAC price per unit (Jul 2019)"/>
    <tableColumn id="17" xr3:uid="{15FC9FF6-5E21-4644-A8AE-79B65AFF33BC}" name="Price w/ reimbursement rate (Jul 2019)" dataDxfId="117">
      <calculatedColumnFormula>Table21[[#This Row],[Redbook WAC price per unit (Jul 2019)]] * 1.06</calculatedColumnFormula>
    </tableColumn>
    <tableColumn id="50" xr3:uid="{3BEDDBFA-44B5-40EE-8566-E820602A2F14}" name="Redbook Unit (Jul 2019)"/>
    <tableColumn id="51" xr3:uid="{55BD02AF-C8E1-4AA7-B178-4BAEB5963980}" name="NDC (Jan 2020)"/>
    <tableColumn id="66" xr3:uid="{D348E82A-B274-4773-90D3-5294375AFCDE}" name="HCPCS code (Jan 2020)" dataDxfId="116"/>
    <tableColumn id="52" xr3:uid="{51B488BA-E31C-4B3D-9DFC-4C8F265CD165}" name="Redbook name (brand or generic) (Jan 2020)"/>
    <tableColumn id="55" xr3:uid="{B5BCC65C-465A-4C93-AF46-04420D1D03BF}" name="Redbook WAC price per unit (Jan 2020)"/>
    <tableColumn id="18" xr3:uid="{315BBB82-7DAF-455D-9890-93E781F16429}" name="Price w/ reimbursement rate (Jan 2020)" dataDxfId="115">
      <calculatedColumnFormula>Table21[[#This Row],[Redbook WAC price per unit (Jan 2020)]] * 1.06</calculatedColumnFormula>
    </tableColumn>
    <tableColumn id="56" xr3:uid="{7558A355-C0CF-4294-9497-5E6D0F4B118D}" name="Redbook Unit (Jan 2020)"/>
    <tableColumn id="57" xr3:uid="{E3B3988F-95EE-4CAE-82DA-E737AF4CAB47}" name="NDC (Jul 2020)"/>
    <tableColumn id="71" xr3:uid="{D90461B9-3C82-4656-8270-8267ACB617DC}" name="HCPCS code (Jul 2020)" dataDxfId="114"/>
    <tableColumn id="58" xr3:uid="{71AC8E79-A469-4FF8-A8F2-269C36413B86}" name="Redbook name (brand or generic) (Jul 2020)"/>
    <tableColumn id="61" xr3:uid="{0D75D688-BDA3-498D-8198-3C11D8900F4D}" name="Redbook WAC price per unit (Jul 2020)"/>
    <tableColumn id="23" xr3:uid="{A91ECB24-525A-40BD-B2EA-0B1F9A5E6933}" name="Price w/ reimbursement rate (Jul 2020)" dataDxfId="113">
      <calculatedColumnFormula>Table21[[#This Row],[Redbook WAC price per unit (Jul 2020)]] * 1.06</calculatedColumnFormula>
    </tableColumn>
    <tableColumn id="62" xr3:uid="{59529ADD-B5F8-48C1-A0A5-7E22FCB5CB60}" name="Redbook Unit (Jul 2020)"/>
    <tableColumn id="63" xr3:uid="{DA563DCC-63E5-43F5-9860-89FEDE2CE4D6}" name="NDC (Jan 2021)"/>
    <tableColumn id="72" xr3:uid="{1E991820-6904-44FD-8C7B-38F6E6A667B5}" name="HCPCS code (Jan 2021)" dataDxfId="112"/>
    <tableColumn id="64" xr3:uid="{1AFC8D7F-B134-45FB-B080-433FE2B82E1B}" name="Redbook name (brand or generic) (Jan 2021)"/>
    <tableColumn id="67" xr3:uid="{C8A01C91-EDF7-4F8C-A30C-90D48D37D879}" name="Redbook WAC price per unit (Jan 2021)"/>
    <tableColumn id="24" xr3:uid="{B4C12BC7-A9A3-44EA-AF8A-DA0CCD6DAD55}" name="Price w/ reimbursement rate (Jan 2021)" dataDxfId="111" dataCellStyle="Currency">
      <calculatedColumnFormula>Table21[[#This Row],[Redbook WAC price per unit (Jan 2021)]] * 1.06</calculatedColumnFormula>
    </tableColumn>
    <tableColumn id="68" xr3:uid="{3FD40F5B-95A4-4AC0-90BC-97AF256A0346}" name="Redbook Unit (Jan 2021)"/>
    <tableColumn id="69" xr3:uid="{973D7494-B0A2-45B6-96E9-54F295F9A14B}" name="NDC (Jul 2021)"/>
    <tableColumn id="77" xr3:uid="{C424F8E5-3B8A-478B-9949-3CFF02DF6DAD}" name="HCPCS code (Jul 2021)"/>
    <tableColumn id="70" xr3:uid="{DC803E09-1F48-421F-8F14-5E609BCCBB33}" name="Redbook name (brand or generic) (Jul 2021)"/>
    <tableColumn id="73" xr3:uid="{80F80CE7-F5E6-4736-95E3-44C410BB3B61}" name="Redbook WAC price per unit (Jul 2021)"/>
    <tableColumn id="29" xr3:uid="{202EE74F-42DF-4921-BCB0-FFE10337D05B}" name="Price w/ reimbursement rate (Jul 2021)" dataDxfId="110" dataCellStyle="Currency">
      <calculatedColumnFormula>Table21[[#This Row],[Redbook WAC price per unit (Jul 2021)]] * 1.06</calculatedColumnFormula>
    </tableColumn>
    <tableColumn id="74" xr3:uid="{4C667AE4-D29C-48EF-8015-EA4BB91D6E07}" name="Redbook Unit (Jul 2021)"/>
    <tableColumn id="75" xr3:uid="{EA1A14BA-BF2C-4BAB-B10E-AFCF77232C5F}" name="NDC (Jan 2022)"/>
    <tableColumn id="78" xr3:uid="{74B9AC81-9A90-46B9-BCEA-8354A1DB678B}" name="HCPCS code (Jan 2022)"/>
    <tableColumn id="76" xr3:uid="{7D16848E-2669-4E08-80B2-FBB14522B732}" name="Redbook name (brand or generic) (Jan 2022)"/>
    <tableColumn id="79" xr3:uid="{A7A26827-E3E4-4BE2-9CBB-D85EA22CA263}" name="Redbook WAC price per unit (Jan 2022)"/>
    <tableColumn id="30" xr3:uid="{8A6C09F9-58CF-4EC5-8F47-F964B7B4AC96}" name="Price w/ reimbursement rate (Jan 2022)" dataDxfId="109" dataCellStyle="Currency">
      <calculatedColumnFormula>Table21[[#This Row],[Redbook WAC price per unit (Jan 2022)]] * 1.06</calculatedColumnFormula>
    </tableColumn>
    <tableColumn id="80" xr3:uid="{81837143-89AD-496D-84DD-1B81248A71B8}" name="Redbook Unit (Jan 2022)"/>
    <tableColumn id="81" xr3:uid="{FEB735B8-10FB-41DE-960E-28B264E50DA8}" name="NDC (Jul 2022)"/>
    <tableColumn id="83" xr3:uid="{E11EAA40-9086-42B7-942D-C757DEA81CDD}" name="HCPCS code (Jul 2022)"/>
    <tableColumn id="82" xr3:uid="{27EF3CDC-6D06-4123-8EE1-247DE70A6810}" name="Redbook name (brand or generic) (Jul 2022)"/>
    <tableColumn id="85" xr3:uid="{59D1F4B9-1193-48C6-8067-E26DAEF53B4A}" name="Redbook WAC price per unit (Jul 2022)"/>
    <tableColumn id="35" xr3:uid="{9413FBFE-7FB3-4A36-A75A-41DB589A27F9}" name="Price w/ reimbursement rate (Jul 2022)" dataDxfId="108" dataCellStyle="Currency">
      <calculatedColumnFormula>Table21[[#This Row],[Redbook WAC price per unit (Jul 2022)]] * 1.06</calculatedColumnFormula>
    </tableColumn>
    <tableColumn id="86" xr3:uid="{9434E551-6E5A-4663-9578-C6B59E1B36D4}" name="Redbook Unit (Jul 2022)"/>
    <tableColumn id="87" xr3:uid="{43ECEE30-A610-4303-97C1-33EE4DBAE12B}" name="NDC (Jan 2023)"/>
    <tableColumn id="84" xr3:uid="{0191F664-9D2E-4464-9119-EAEF49ACF520}" name="HCPCS code (Jan 2023)"/>
    <tableColumn id="88" xr3:uid="{5F3524EC-DDF7-43B3-8B73-9BF54C188CFA}" name="Redbook name (brand or generic) (Jan 2023)"/>
    <tableColumn id="91" xr3:uid="{9CA21468-2FEE-4A11-8A8B-68DA3383EA13}" name="Redbook WAC price per unit (Jan 2023)"/>
    <tableColumn id="36" xr3:uid="{FD2D1200-3AA6-4FD5-8CA1-CE72EC77198E}" name="Price w/ reimbursement rate (Jan 2023)" dataDxfId="107" dataCellStyle="Currency">
      <calculatedColumnFormula>Table21[[#This Row],[Redbook WAC price per unit (Jan 2023)]] * 1.06</calculatedColumnFormula>
    </tableColumn>
    <tableColumn id="92" xr3:uid="{87F3554A-90E0-4DE2-BC4C-44DA8E2D4441}" name="Redbook Unit (Jan 2023)"/>
    <tableColumn id="93" xr3:uid="{E0DF7DDD-A18C-4C26-BD2B-37AA18DA5892}" name="NDC (Jul 2023)"/>
    <tableColumn id="89" xr3:uid="{A42C20BA-8F69-4CC4-874A-994AE6784C09}" name="HCPCS code (Jul 2023)"/>
    <tableColumn id="94" xr3:uid="{59C5B7F6-4FE3-45DA-94EF-504A258D046F}" name="Redbook name (brand or generic) (Jul 2023)"/>
    <tableColumn id="97" xr3:uid="{2BB4B4C7-6F5D-43B8-B2C3-B34FD8ACC636}" name="Redbook WAC price per unit (Jul 2023)"/>
    <tableColumn id="41" xr3:uid="{6526BF25-51B8-4411-BE84-33785FEE1653}" name="Price w/ reimbursement rate (Jul 2023)" dataDxfId="106" dataCellStyle="Currency">
      <calculatedColumnFormula>Table21[[#This Row],[Redbook WAC price per unit (Jul 2023)]] * 1.06</calculatedColumnFormula>
    </tableColumn>
    <tableColumn id="98" xr3:uid="{DE76CC1A-8DE9-44D4-8395-0BC1E4785E85}" name="Redbook Unit (Jul 2023)"/>
    <tableColumn id="5" xr3:uid="{80049CE8-A0F2-46A6-BC4E-814BE25C42AB}" name="Notes"/>
  </tableColumns>
  <tableStyleInfo name="TableStyleLight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62BC9BE1-25C6-4E31-BF99-6EF0230AB268}" name="ASP2016Q1" displayName="ASP2016Q1" ref="A1:E539" totalsRowShown="0" headerRowBorderDxfId="105" tableBorderDxfId="104">
  <autoFilter ref="A1:E539" xr:uid="{62BC9BE1-25C6-4E31-BF99-6EF0230AB268}"/>
  <tableColumns count="5">
    <tableColumn id="1" xr3:uid="{E7CC1544-61A6-40BB-8ED0-FC682C44EAD8}" name="HCPCS Code" dataDxfId="103" dataCellStyle="Normal 4"/>
    <tableColumn id="2" xr3:uid="{64291B9E-3DCE-4863-953F-F927B2A8642E}" name="Short Description" dataDxfId="102" dataCellStyle="Normal 4"/>
    <tableColumn id="3" xr3:uid="{CB116B31-197F-4ACD-8D09-16FEE8F81E6B}" name="HCPCS Code Dosage" dataDxfId="101" dataCellStyle="Normal 4"/>
    <tableColumn id="4" xr3:uid="{B4679DE0-FE21-41BB-9A82-C98DCD2AE2AF}" name="Payment Limit" dataDxfId="100" dataCellStyle="Normal 4"/>
    <tableColumn id="5" xr3:uid="{3A06ADD9-675C-4CE1-A543-441AF8465516}" name="Column1" dataCellStyle="Normal 4"/>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DB7A18CB-95CF-4E6B-BA44-6E8E96DF2B7B}" name="ASP2016Q3" displayName="ASP2016Q3" ref="A1:E540" totalsRowShown="0" headerRowDxfId="99" headerRowBorderDxfId="98" tableBorderDxfId="97">
  <autoFilter ref="A1:E540" xr:uid="{DB7A18CB-95CF-4E6B-BA44-6E8E96DF2B7B}"/>
  <tableColumns count="5">
    <tableColumn id="1" xr3:uid="{8E025D2A-D7B6-4260-9A11-B432AF084413}" name="HCPCS Code" dataDxfId="96" dataCellStyle="Normal 4"/>
    <tableColumn id="2" xr3:uid="{133D62D5-3E84-4369-B6CD-F627BB060CB3}" name="Short Description" dataDxfId="95" dataCellStyle="Normal 4"/>
    <tableColumn id="3" xr3:uid="{52BBF3F1-DED5-490C-A9C7-238AB024164D}" name="HCPCS Code Dosage" dataDxfId="94" dataCellStyle="Normal 4"/>
    <tableColumn id="4" xr3:uid="{98849665-0236-4771-8014-C582FECC2B43}" name="Payment Limit" dataDxfId="93" dataCellStyle="Normal 4"/>
    <tableColumn id="5" xr3:uid="{68664BA8-0808-4E1D-8521-68D49EAF83F0}" name="Column1" dataCellStyle="Normal 4"/>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3638030-024D-4545-9DA0-0A914CF9E08E}" name="ASP2017Q1" displayName="ASP2017Q1" ref="A1:D541" totalsRowShown="0" headerRowDxfId="92" headerRowBorderDxfId="91" tableBorderDxfId="90">
  <autoFilter ref="A1:D541" xr:uid="{9AB58DE2-AB29-4F1C-9C64-48F81C3A994E}"/>
  <sortState xmlns:xlrd2="http://schemas.microsoft.com/office/spreadsheetml/2017/richdata2" ref="A2:D541">
    <sortCondition ref="B1:B541"/>
  </sortState>
  <tableColumns count="4">
    <tableColumn id="1" xr3:uid="{6397F1AB-BC7B-4C8B-8EB9-2B10182D90D7}" name="HCPCS Code" dataDxfId="89"/>
    <tableColumn id="2" xr3:uid="{7E5C4F41-2045-4523-A13F-A4D6D327CBF0}" name="Short Description" dataDxfId="88"/>
    <tableColumn id="3" xr3:uid="{C390C26F-5F56-4547-B222-D47B952072A4}" name="HCPCS Code Dosage" dataDxfId="87"/>
    <tableColumn id="4" xr3:uid="{C453D04F-43AB-421B-9A49-F8F0C834C29E}" name="Payment Limit" dataDxfId="86"/>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CF46625-2A14-43A6-AFE1-6AD9943FFFD5}" name="ASP2017Q3" displayName="ASP2017Q3" ref="A1:E542" totalsRowShown="0" headerRowDxfId="85" headerRowBorderDxfId="84" tableBorderDxfId="83">
  <autoFilter ref="A1:E542" xr:uid="{5CF46625-2A14-43A6-AFE1-6AD9943FFFD5}"/>
  <tableColumns count="5">
    <tableColumn id="1" xr3:uid="{C734D06C-C415-477D-BA40-B26C0ECD8035}" name="HCPCS Code" dataDxfId="82" dataCellStyle="Normal 4"/>
    <tableColumn id="2" xr3:uid="{618AA495-666E-4B14-BD27-ED23E2B3433C}" name="Short Description" dataDxfId="81" dataCellStyle="Normal 4"/>
    <tableColumn id="3" xr3:uid="{5EBB2659-33D2-40DE-9513-495C860650BF}" name="HCPCS Code Dosage" dataDxfId="80" dataCellStyle="Normal 4"/>
    <tableColumn id="4" xr3:uid="{86630760-25C1-48A9-B10F-F5E682FBEE27}" name="Payment Limit" dataDxfId="79" dataCellStyle="Normal 4"/>
    <tableColumn id="5" xr3:uid="{49551E22-0F2E-4E57-B8A7-AD09BD5D0AE6}" name="Column1"/>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A4347C3-3F14-4940-8CAC-E423B369D568}" name="Table17" displayName="Table17" ref="A1:D549" totalsRowShown="0" headerRowDxfId="78">
  <autoFilter ref="A1:D549" xr:uid="{0A4347C3-3F14-4940-8CAC-E423B369D568}"/>
  <tableColumns count="4">
    <tableColumn id="1" xr3:uid="{554BE10D-B6B0-42D5-8C3E-52BC69BC0F6A}" name="HCPCS Code"/>
    <tableColumn id="2" xr3:uid="{090C98A9-F1D3-4250-B432-F6014035AA74}" name="Short Description"/>
    <tableColumn id="3" xr3:uid="{E081387C-74FD-4F45-AD53-BF3AEF6AD6C9}" name="HCPCS Code Dosage"/>
    <tableColumn id="4" xr3:uid="{7D6B7F3B-D6E3-4AEC-B428-B361D50572EC}" name="Payment Limit"/>
  </tableColumns>
  <tableStyleInfo name="TableStyleLight16"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D5780A22-3E34-47DA-B8FA-DCF43BDFB9C4}" name="Table16" displayName="Table16" ref="A1:D558" totalsRowShown="0" headerRowDxfId="77">
  <autoFilter ref="A1:D558" xr:uid="{D5780A22-3E34-47DA-B8FA-DCF43BDFB9C4}"/>
  <tableColumns count="4">
    <tableColumn id="1" xr3:uid="{83E168EA-1607-4D86-9F9A-2073B21531E8}" name="HCPCS Code"/>
    <tableColumn id="2" xr3:uid="{F04C79D6-F32D-45C4-8820-F18E6E3D9FEB}" name="Short Description"/>
    <tableColumn id="3" xr3:uid="{1053F08A-70CB-4737-BFB9-90F62C02B96F}" name="HCPCS Code Dosage"/>
    <tableColumn id="4" xr3:uid="{2E4633DB-BE6A-438C-9392-5A18123BB8EA}" name="Payment Limit"/>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G2" dT="2020-08-26T15:45:29.65" personId="{00000000-0000-0000-0000-000000000000}" id="{FC1407E1-A144-4FE5-BFAF-A162B3EFBA0A}">
    <text>pulled from Jan 2019 pricing spreadsheet</text>
  </threadedComment>
</ThreadedComments>
</file>

<file path=xl/threadedComments/threadedComment2.xml><?xml version="1.0" encoding="utf-8"?>
<ThreadedComments xmlns="http://schemas.microsoft.com/office/spreadsheetml/2018/threadedcomments" xmlns:x="http://schemas.openxmlformats.org/spreadsheetml/2006/main">
  <threadedComment ref="I12" dT="2023-12-15T17:27:34.18" personId="{00000000-0000-0000-0000-000000000000}" id="{C8B45F5E-44DF-42BC-BB26-454E689191A1}">
    <text>Pulled first available WAC</text>
  </threadedComment>
  <threadedComment ref="T40" dT="2023-11-15T17:54:07.89" personId="{00000000-0000-0000-0000-000000000000}" id="{73B4DF03-D5A5-43B0-A816-3C0B6D145DB8}">
    <text>update in Jul 17 extraction</text>
  </threadedComment>
  <threadedComment ref="K47" dT="2023-12-15T20:22:16.48" personId="{00000000-0000-0000-0000-000000000000}" id="{2CE29086-DFBB-4E71-B380-1585AB988F22}">
    <text>Pulled first available AWP</text>
  </threadedComment>
  <threadedComment ref="T47" dT="2023-11-15T18:19:36.68" personId="{00000000-0000-0000-0000-000000000000}" id="{AD465422-DE16-43CD-84F6-E68E3E0C627A}">
    <text>update in Jul 17 extraction</text>
  </threadedComment>
  <threadedComment ref="V47" dT="2023-08-01T18:30:42.23" personId="{00000000-0000-0000-0000-000000000000}" id="{8DCC4006-2E8C-4353-A496-7F674883DC9C}">
    <text>dosage change?</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microsoft.com/office/2017/10/relationships/threadedComment" Target="../threadedComments/threadedComment1.xml"/><Relationship Id="rId2" Type="http://schemas.openxmlformats.org/officeDocument/2006/relationships/hyperlink" Target="https://hcpcs.codes/j-codes/J8655/%20,%20due%20to%20the%20overall%20weight%20of%20the%20drug%20we%20will%20be%20using%20300%20mg%20as%20the%20dosage" TargetMode="External"/><Relationship Id="rId1" Type="http://schemas.openxmlformats.org/officeDocument/2006/relationships/hyperlink" Target="https://hcpcs.codes/j-codes/J1454/" TargetMode="External"/><Relationship Id="rId6" Type="http://schemas.openxmlformats.org/officeDocument/2006/relationships/comments" Target="../comments1.xml"/><Relationship Id="rId5" Type="http://schemas.openxmlformats.org/officeDocument/2006/relationships/table" Target="../tables/table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ashclinicalnews.org/news/cms-finalizes-new-car-t-cell-payment-structure/" TargetMode="External"/><Relationship Id="rId7" Type="http://schemas.openxmlformats.org/officeDocument/2006/relationships/hyperlink" Target="https://ashpublications.org/bloodadvances/article/8/2/484/506783/Cost-effectiveness-of-second-line-lisocabtagene%20,%20coincides%20with%20WAC%20as%20well%20(Jul%202021)" TargetMode="External"/><Relationship Id="rId2" Type="http://schemas.openxmlformats.org/officeDocument/2006/relationships/hyperlink" Target="https://www.ashclinicalnews.org/news/cms-finalizes-new-car-t-cell-payment-structure/" TargetMode="External"/><Relationship Id="rId1" Type="http://schemas.openxmlformats.org/officeDocument/2006/relationships/hyperlink" Target="http://www.medpac.gov/docs/default-source/reports/chapter-3-online-only-appendixes-part-b-drug-payment-policy-issues-june-2015-report-.pdf?sfvrsn=0" TargetMode="External"/><Relationship Id="rId6" Type="http://schemas.openxmlformats.org/officeDocument/2006/relationships/hyperlink" Target="https://www.drugs.com/price-guide/aliqopa" TargetMode="External"/><Relationship Id="rId5" Type="http://schemas.openxmlformats.org/officeDocument/2006/relationships/hyperlink" Target="https://www.cms.gov/Regulations-and-Guidance/Guidance/Transmittals/downloads/R1209CP.pdf" TargetMode="External"/><Relationship Id="rId10" Type="http://schemas.openxmlformats.org/officeDocument/2006/relationships/comments" Target="../comments3.xml"/><Relationship Id="rId4" Type="http://schemas.openxmlformats.org/officeDocument/2006/relationships/hyperlink" Target="https://www.cms.gov/Regulations-and-Guidance/Guidance/Transmittals/downloads/R1209CP.pdf" TargetMode="External"/><Relationship Id="rId9"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5AE66-2FD1-4E9F-8BE3-2659C4E1C422}">
  <dimension ref="A1:BV174"/>
  <sheetViews>
    <sheetView tabSelected="1" zoomScaleNormal="100" workbookViewId="0">
      <pane xSplit="1" ySplit="2" topLeftCell="B105" activePane="bottomRight" state="frozen"/>
      <selection pane="topRight" activeCell="B1" sqref="B1"/>
      <selection pane="bottomLeft" activeCell="A3" sqref="A3"/>
      <selection pane="bottomRight" activeCell="BE105" sqref="BE105"/>
    </sheetView>
  </sheetViews>
  <sheetFormatPr defaultRowHeight="14.4" x14ac:dyDescent="0.3"/>
  <cols>
    <col min="1" max="1" width="34.44140625" bestFit="1" customWidth="1"/>
    <col min="2" max="2" width="12.44140625" bestFit="1" customWidth="1"/>
    <col min="3" max="4" width="11.21875" bestFit="1" customWidth="1"/>
    <col min="5" max="5" width="13.5546875" style="285" bestFit="1" customWidth="1"/>
    <col min="6" max="6" width="15.5546875" style="341" bestFit="1" customWidth="1"/>
    <col min="7" max="9" width="11.21875" bestFit="1" customWidth="1"/>
    <col min="10" max="10" width="13.5546875" style="285" bestFit="1" customWidth="1"/>
    <col min="11" max="11" width="15.5546875" style="341" bestFit="1" customWidth="1"/>
    <col min="12" max="14" width="11.21875" bestFit="1" customWidth="1"/>
    <col min="15" max="15" width="14" bestFit="1" customWidth="1"/>
    <col min="16" max="16" width="18.44140625" style="298" bestFit="1" customWidth="1"/>
    <col min="17" max="19" width="11.5546875" style="57" customWidth="1"/>
    <col min="20" max="20" width="12.5546875" style="57" customWidth="1"/>
    <col min="21" max="25" width="13" style="57" customWidth="1"/>
    <col min="26" max="31" width="16.44140625" style="57" customWidth="1"/>
    <col min="32" max="32" width="11.5546875" style="57" customWidth="1"/>
    <col min="33" max="33" width="20.5546875" style="57" customWidth="1"/>
    <col min="34" max="35" width="11.5546875" style="57" customWidth="1"/>
    <col min="36" max="36" width="17" style="57" customWidth="1"/>
    <col min="37" max="38" width="11.5546875" style="57" customWidth="1"/>
    <col min="39" max="41" width="11.5546875" style="131" customWidth="1"/>
    <col min="42" max="46" width="11.5546875" customWidth="1"/>
    <col min="47" max="47" width="11.5546875" style="57" customWidth="1"/>
    <col min="48" max="58" width="11.5546875" customWidth="1"/>
    <col min="59" max="59" width="12.5546875" customWidth="1"/>
    <col min="60" max="61" width="11.5546875" customWidth="1"/>
    <col min="62" max="62" width="13.5546875" customWidth="1"/>
    <col min="63" max="63" width="13.21875" customWidth="1"/>
    <col min="64" max="64" width="13.44140625" customWidth="1"/>
    <col min="65" max="66" width="11.5546875" customWidth="1"/>
    <col min="67" max="67" width="13" customWidth="1"/>
    <col min="68" max="73" width="14.44140625" customWidth="1"/>
    <col min="74" max="74" width="11.5546875" customWidth="1"/>
  </cols>
  <sheetData>
    <row r="1" spans="1:74" ht="18.600000000000001" thickBot="1" x14ac:dyDescent="0.4">
      <c r="B1" s="471">
        <v>42370</v>
      </c>
      <c r="C1" s="471"/>
      <c r="D1" s="471"/>
      <c r="E1" s="471"/>
      <c r="F1" s="472"/>
      <c r="G1" s="471">
        <v>42552</v>
      </c>
      <c r="H1" s="471"/>
      <c r="I1" s="471"/>
      <c r="J1" s="471"/>
      <c r="K1" s="472"/>
      <c r="L1" s="471">
        <v>42736</v>
      </c>
      <c r="M1" s="471"/>
      <c r="N1" s="471"/>
      <c r="O1" s="471"/>
      <c r="P1" s="472"/>
      <c r="Q1" s="471">
        <v>42917</v>
      </c>
      <c r="R1" s="471"/>
      <c r="S1" s="471"/>
      <c r="T1" s="471"/>
      <c r="U1" s="471"/>
      <c r="V1" s="482">
        <v>43101</v>
      </c>
      <c r="W1" s="483"/>
      <c r="X1" s="483"/>
      <c r="Y1" s="483"/>
      <c r="Z1" s="484"/>
      <c r="AA1" s="482">
        <v>43282</v>
      </c>
      <c r="AB1" s="483"/>
      <c r="AC1" s="483"/>
      <c r="AD1" s="483"/>
      <c r="AE1" s="484"/>
      <c r="AF1" s="480">
        <v>43466</v>
      </c>
      <c r="AG1" s="481"/>
      <c r="AH1" s="479">
        <v>43647</v>
      </c>
      <c r="AI1" s="480"/>
      <c r="AJ1" s="480"/>
      <c r="AK1" s="480"/>
      <c r="AL1" s="481"/>
      <c r="AM1" s="479">
        <v>43831</v>
      </c>
      <c r="AN1" s="480"/>
      <c r="AO1" s="480"/>
      <c r="AP1" s="480"/>
      <c r="AQ1" s="480"/>
      <c r="AR1" s="479">
        <v>44013</v>
      </c>
      <c r="AS1" s="480"/>
      <c r="AT1" s="480"/>
      <c r="AU1" s="480"/>
      <c r="AV1" s="481"/>
      <c r="AW1" s="476">
        <v>44217</v>
      </c>
      <c r="AX1" s="477"/>
      <c r="AY1" s="477"/>
      <c r="AZ1" s="477"/>
      <c r="BA1" s="478"/>
      <c r="BB1" s="476">
        <v>44399</v>
      </c>
      <c r="BC1" s="477"/>
      <c r="BD1" s="477"/>
      <c r="BE1" s="477"/>
      <c r="BF1" s="478"/>
      <c r="BG1" s="476">
        <v>44583</v>
      </c>
      <c r="BH1" s="477"/>
      <c r="BI1" s="477"/>
      <c r="BJ1" s="477"/>
      <c r="BK1" s="478"/>
      <c r="BL1" s="473">
        <v>44764</v>
      </c>
      <c r="BM1" s="474"/>
      <c r="BN1" s="474"/>
      <c r="BO1" s="474"/>
      <c r="BP1" s="475"/>
      <c r="BQ1" s="193"/>
      <c r="BR1" s="193"/>
      <c r="BS1" s="193">
        <v>44949</v>
      </c>
      <c r="BT1" s="193"/>
      <c r="BU1" s="193"/>
    </row>
    <row r="2" spans="1:74" ht="58.2" thickBot="1" x14ac:dyDescent="0.35">
      <c r="A2" s="60" t="s">
        <v>0</v>
      </c>
      <c r="B2" s="299" t="s">
        <v>2464</v>
      </c>
      <c r="C2" s="299" t="s">
        <v>2465</v>
      </c>
      <c r="D2" s="299" t="s">
        <v>2466</v>
      </c>
      <c r="E2" s="299" t="s">
        <v>2467</v>
      </c>
      <c r="F2" s="300" t="s">
        <v>2468</v>
      </c>
      <c r="G2" s="309" t="s">
        <v>2469</v>
      </c>
      <c r="H2" s="299" t="s">
        <v>2470</v>
      </c>
      <c r="I2" s="299" t="s">
        <v>2471</v>
      </c>
      <c r="J2" s="299" t="s">
        <v>2472</v>
      </c>
      <c r="K2" s="300" t="s">
        <v>2473</v>
      </c>
      <c r="L2" s="309" t="s">
        <v>2452</v>
      </c>
      <c r="M2" s="299" t="s">
        <v>2453</v>
      </c>
      <c r="N2" s="299" t="s">
        <v>2454</v>
      </c>
      <c r="O2" s="299" t="s">
        <v>2455</v>
      </c>
      <c r="P2" s="300" t="s">
        <v>2456</v>
      </c>
      <c r="Q2" s="301" t="s">
        <v>2430</v>
      </c>
      <c r="R2" s="274" t="s">
        <v>2431</v>
      </c>
      <c r="S2" s="274" t="s">
        <v>2432</v>
      </c>
      <c r="T2" s="274" t="s">
        <v>2435</v>
      </c>
      <c r="U2" s="274" t="s">
        <v>2433</v>
      </c>
      <c r="V2" s="371" t="s">
        <v>2692</v>
      </c>
      <c r="W2" s="372" t="s">
        <v>2693</v>
      </c>
      <c r="X2" s="372" t="s">
        <v>2694</v>
      </c>
      <c r="Y2" s="372" t="s">
        <v>2695</v>
      </c>
      <c r="Z2" s="373" t="s">
        <v>2696</v>
      </c>
      <c r="AA2" s="371" t="s">
        <v>2698</v>
      </c>
      <c r="AB2" s="372" t="s">
        <v>2699</v>
      </c>
      <c r="AC2" s="372" t="s">
        <v>2700</v>
      </c>
      <c r="AD2" s="372" t="s">
        <v>2701</v>
      </c>
      <c r="AE2" s="373" t="s">
        <v>2697</v>
      </c>
      <c r="AF2" s="112" t="s">
        <v>1823</v>
      </c>
      <c r="AG2" s="121" t="s">
        <v>1820</v>
      </c>
      <c r="AH2" s="113" t="s">
        <v>1821</v>
      </c>
      <c r="AI2" s="112" t="s">
        <v>1822</v>
      </c>
      <c r="AJ2" s="112" t="s">
        <v>1824</v>
      </c>
      <c r="AK2" s="114" t="s">
        <v>1468</v>
      </c>
      <c r="AL2" s="71" t="s">
        <v>1469</v>
      </c>
      <c r="AM2" s="128" t="s">
        <v>1826</v>
      </c>
      <c r="AN2" s="129" t="s">
        <v>1827</v>
      </c>
      <c r="AO2" s="129" t="s">
        <v>1828</v>
      </c>
      <c r="AP2" s="125" t="s">
        <v>1546</v>
      </c>
      <c r="AQ2" s="76" t="s">
        <v>1825</v>
      </c>
      <c r="AR2" s="128" t="s">
        <v>1829</v>
      </c>
      <c r="AS2" s="129" t="s">
        <v>1830</v>
      </c>
      <c r="AT2" s="129" t="s">
        <v>1831</v>
      </c>
      <c r="AU2" s="114" t="s">
        <v>1689</v>
      </c>
      <c r="AV2" s="71" t="s">
        <v>1658</v>
      </c>
      <c r="AW2" s="113" t="s">
        <v>1927</v>
      </c>
      <c r="AX2" s="112" t="s">
        <v>1928</v>
      </c>
      <c r="AY2" s="112" t="s">
        <v>1929</v>
      </c>
      <c r="AZ2" s="112" t="s">
        <v>1930</v>
      </c>
      <c r="BA2" s="121" t="s">
        <v>1931</v>
      </c>
      <c r="BB2" s="113" t="s">
        <v>1932</v>
      </c>
      <c r="BC2" s="112" t="s">
        <v>1933</v>
      </c>
      <c r="BD2" s="112" t="s">
        <v>1934</v>
      </c>
      <c r="BE2" s="112" t="s">
        <v>1935</v>
      </c>
      <c r="BF2" s="121" t="s">
        <v>1936</v>
      </c>
      <c r="BG2" s="113" t="s">
        <v>1937</v>
      </c>
      <c r="BH2" s="112" t="s">
        <v>1938</v>
      </c>
      <c r="BI2" s="112" t="s">
        <v>1939</v>
      </c>
      <c r="BJ2" s="112" t="s">
        <v>1940</v>
      </c>
      <c r="BK2" s="112" t="s">
        <v>1941</v>
      </c>
      <c r="BL2" s="180" t="s">
        <v>2151</v>
      </c>
      <c r="BM2" s="180" t="s">
        <v>2128</v>
      </c>
      <c r="BN2" s="112" t="s">
        <v>2129</v>
      </c>
      <c r="BO2" s="112" t="s">
        <v>2130</v>
      </c>
      <c r="BP2" s="121" t="s">
        <v>2133</v>
      </c>
      <c r="BQ2" s="180" t="s">
        <v>2361</v>
      </c>
      <c r="BR2" s="180" t="s">
        <v>2362</v>
      </c>
      <c r="BS2" s="112" t="s">
        <v>2363</v>
      </c>
      <c r="BT2" s="112" t="s">
        <v>2364</v>
      </c>
      <c r="BU2" s="121" t="s">
        <v>2360</v>
      </c>
      <c r="BV2" s="78" t="s">
        <v>194</v>
      </c>
    </row>
    <row r="3" spans="1:74" x14ac:dyDescent="0.3">
      <c r="A3" s="62" t="s">
        <v>7</v>
      </c>
      <c r="B3" s="286" t="s">
        <v>1327</v>
      </c>
      <c r="C3" s="286">
        <v>1</v>
      </c>
      <c r="D3" s="307" t="s">
        <v>1470</v>
      </c>
      <c r="E3" s="292">
        <f>IFERROR(VLOOKUP(Table5[[#This Row],[HCPCS code 2016 Q1]], ASP2016Q1[], 4, FALSE), "")</f>
        <v>29.212</v>
      </c>
      <c r="F3" s="303">
        <f>IFERROR(Table5[[#This Row],[Payment Limit 2016Q1]]/Table5[[#This Row],[HCPCS code dosage 2016Q1]], "")</f>
        <v>29.212</v>
      </c>
      <c r="G3" s="286" t="s">
        <v>1327</v>
      </c>
      <c r="H3" s="286">
        <v>1</v>
      </c>
      <c r="I3" s="307" t="s">
        <v>1470</v>
      </c>
      <c r="J3" s="292">
        <f>IFERROR(VLOOKUP(Table5[[#This Row],[HCPCS code 2016 Q3]], ASP2016Q3[], 4, FALSE), "")</f>
        <v>29.215</v>
      </c>
      <c r="K3" s="303">
        <f>IFERROR(Table5[[#This Row],[Payment Limit 2016Q3]]/Table5[[#This Row],[HCPCS code dosage 2016Q3]], "")</f>
        <v>29.215</v>
      </c>
      <c r="L3" s="286" t="s">
        <v>1327</v>
      </c>
      <c r="M3" s="286">
        <v>1</v>
      </c>
      <c r="N3" s="307" t="s">
        <v>1470</v>
      </c>
      <c r="O3" s="291">
        <f>IFERROR(VLOOKUP(Table5[[#This Row],[HCPCS code 2017 Q1]], ASP2017Q1[], 4, FALSE), "")</f>
        <v>29.561</v>
      </c>
      <c r="P3" s="302">
        <f>IFERROR(Table5[[#This Row],[Payment Limit 2017Q1]]/Table5[[#This Row],[HCPCS code dosage 2017Q1]], "")</f>
        <v>29.561</v>
      </c>
      <c r="Q3" s="275" t="s">
        <v>1327</v>
      </c>
      <c r="R3" s="275">
        <v>1</v>
      </c>
      <c r="S3" s="275" t="s">
        <v>1470</v>
      </c>
      <c r="T3" s="279">
        <f>IFERROR(VLOOKUP(Table5[[#This Row],[HCPCS code 2017 Q3]], ASP2017Q3[], 4, FALSE), "")</f>
        <v>29.791</v>
      </c>
      <c r="U3" s="279">
        <f>IFERROR(Table5[[#This Row],[Payment Limit 2017Q3]]/Table5[[#This Row],[HCPCS code dosage 2017Q3]], "")</f>
        <v>29.791</v>
      </c>
      <c r="V3" s="374" t="s">
        <v>1327</v>
      </c>
      <c r="W3" s="377">
        <v>1</v>
      </c>
      <c r="X3" s="142" t="s">
        <v>1470</v>
      </c>
      <c r="Y3" s="279">
        <v>30.206</v>
      </c>
      <c r="Z3" s="370">
        <f>IFERROR(Table5[[#This Row],[Payment Limit 2018 Q1]]/Table5[[#This Row],[HCPCS code dosage 2018 Q1]],"")</f>
        <v>30.206</v>
      </c>
      <c r="AA3" s="374" t="s">
        <v>1327</v>
      </c>
      <c r="AB3" s="381">
        <v>1</v>
      </c>
      <c r="AC3" s="142" t="s">
        <v>1470</v>
      </c>
      <c r="AD3" s="378">
        <v>30.692</v>
      </c>
      <c r="AE3" s="370">
        <f>IFERROR(Table5[[#This Row],[Payment Limit 2018 Q3]]/Table5[[#This Row],[HCPCS code dosage 2018 Q3]],"")</f>
        <v>30.692</v>
      </c>
      <c r="AF3" s="275" t="s">
        <v>1327</v>
      </c>
      <c r="AG3" s="122">
        <v>31.218</v>
      </c>
      <c r="AH3" s="117" t="s">
        <v>1327</v>
      </c>
      <c r="AI3" s="118" t="s">
        <v>1665</v>
      </c>
      <c r="AJ3" s="118" t="s">
        <v>1470</v>
      </c>
      <c r="AK3" s="115">
        <f>IFERROR(VLOOKUP(Table5[[#This Row],[HCPCS code 2019Q3]], ASP2019Q3[], 4, FALSE), "")</f>
        <v>31.286000000000001</v>
      </c>
      <c r="AL3" s="72">
        <f>IFERROR(Table5[[#This Row],[Payment Limit 2019Q3]]/Table5[[#This Row],[HCPCS code dosage 2019Q3]], "")</f>
        <v>31.286000000000001</v>
      </c>
      <c r="AM3" s="130" t="s">
        <v>1327</v>
      </c>
      <c r="AN3" s="130" t="s">
        <v>1665</v>
      </c>
      <c r="AO3" s="130" t="s">
        <v>1470</v>
      </c>
      <c r="AP3" s="126">
        <f>IFERROR(VLOOKUP(Table5[[#This Row],[HCPCS code 2020Q1]], ASP2020Q1[], 4, FALSE), "")</f>
        <v>32.106999999999999</v>
      </c>
      <c r="AQ3" s="77">
        <f>IFERROR(Table5[[#This Row],[Payment Limit 2020Q1]]/Table5[[#This Row],[HCPCS code dosage 2020Q1]], "")</f>
        <v>32.106999999999999</v>
      </c>
      <c r="AR3" s="133" t="s">
        <v>1327</v>
      </c>
      <c r="AS3" s="130" t="s">
        <v>1665</v>
      </c>
      <c r="AT3" s="130" t="s">
        <v>1470</v>
      </c>
      <c r="AU3" s="132">
        <f>IFERROR(VLOOKUP(Table5[[#This Row],[HCPCS code 2020Q3]], ASP2020Q3[], 4, FALSE), "")</f>
        <v>32.817999999999998</v>
      </c>
      <c r="AV3" s="72">
        <f>IFERROR(Table5[[#This Row],[Payment limit 2020Q3]]/Table5[[#This Row],[HCPCS code dosage 2020Q3]],"")</f>
        <v>32.817999999999998</v>
      </c>
      <c r="AW3" s="144" t="s">
        <v>1327</v>
      </c>
      <c r="AX3" s="118" t="s">
        <v>1665</v>
      </c>
      <c r="AY3" s="144" t="s">
        <v>1470</v>
      </c>
      <c r="AZ3" s="144">
        <f>IFERROR(VLOOKUP(Table5[[#This Row],[HCPCS code 2021Q1]], ASP2021Q1[], 4, FALSE), "")</f>
        <v>32.847000000000001</v>
      </c>
      <c r="BA3" s="122">
        <f>IFERROR(Table5[[#This Row],[Payment limit 2021Q1]]/Table5[[#This Row],[HCPCS code dosage 2021Q1]], "")</f>
        <v>32.847000000000001</v>
      </c>
      <c r="BB3" s="147" t="s">
        <v>1327</v>
      </c>
      <c r="BC3" s="118" t="s">
        <v>1665</v>
      </c>
      <c r="BD3" s="144" t="s">
        <v>1470</v>
      </c>
      <c r="BE3" s="144">
        <f>IFERROR(VLOOKUP(Table5[[#This Row],[HCPCS code 2021Q3]], ASP2021Q3[], 4, FALSE), "")</f>
        <v>34.155000000000001</v>
      </c>
      <c r="BF3" s="122">
        <f>IFERROR(Table5[[#This Row],[Payment limit 2021Q3]]/Table5[[#This Row],[HCPCS code dosage 2021Q3]], "")</f>
        <v>34.155000000000001</v>
      </c>
      <c r="BG3" s="147" t="s">
        <v>1327</v>
      </c>
      <c r="BH3" s="118" t="s">
        <v>1665</v>
      </c>
      <c r="BI3" s="144" t="s">
        <v>1470</v>
      </c>
      <c r="BJ3" s="144">
        <f>IFERROR(VLOOKUP(Table5[[#This Row],[HCPCS code 2022Q1]], ASP2022Q1[], 4, FALSE), "")</f>
        <v>34.151000000000003</v>
      </c>
      <c r="BK3" s="122">
        <f>IFERROR(Table5[[#This Row],[Payment limit 2022Q1]]/Table5[[#This Row],[HCPCS code dosage 2022Q1]], "")</f>
        <v>34.151000000000003</v>
      </c>
      <c r="BL3" s="179" t="s">
        <v>1327</v>
      </c>
      <c r="BM3" s="183">
        <v>1</v>
      </c>
      <c r="BN3" s="179" t="s">
        <v>1470</v>
      </c>
      <c r="BO3" s="179">
        <f>IFERROR(VLOOKUP(Table5[[#This Row],[HCPCS Code 2022Q3]], ASP2022Q3[], 4, FALSE), "")</f>
        <v>35.616</v>
      </c>
      <c r="BP3" s="182">
        <f>IFERROR(Table5[[#This Row],[Payment limit 2022Q3]]/Table5[[#This Row],[HCPCS code dosage 2022Q3]], "")</f>
        <v>35.616</v>
      </c>
      <c r="BQ3" s="179" t="s">
        <v>1327</v>
      </c>
      <c r="BR3" s="243">
        <v>1</v>
      </c>
      <c r="BS3" s="179" t="s">
        <v>1470</v>
      </c>
      <c r="BT3" s="179">
        <v>36.270000000000003</v>
      </c>
      <c r="BU3" s="179">
        <f>IFERROR(Table5[[#This Row],[Payment limit 2023Q1]]/Table5[[#This Row],[HCPCS code dosage 2023Q1]], "")</f>
        <v>36.270000000000003</v>
      </c>
      <c r="BV3" s="79"/>
    </row>
    <row r="4" spans="1:74" x14ac:dyDescent="0.3">
      <c r="A4" s="62" t="s">
        <v>142</v>
      </c>
      <c r="B4" s="286" t="s">
        <v>280</v>
      </c>
      <c r="C4" s="286">
        <v>1</v>
      </c>
      <c r="D4" s="307" t="s">
        <v>1470</v>
      </c>
      <c r="E4" s="292">
        <f>IFERROR(VLOOKUP(Table5[[#This Row],[HCPCS code 2016 Q1]], ASP2016Q1[], 4, FALSE), "")</f>
        <v>1743.8150000000001</v>
      </c>
      <c r="F4" s="303">
        <f>IFERROR(Table5[[#This Row],[Payment Limit 2016Q1]]/Table5[[#This Row],[HCPCS code dosage 2016Q1]], "")</f>
        <v>1743.8150000000001</v>
      </c>
      <c r="G4" s="286" t="s">
        <v>280</v>
      </c>
      <c r="H4" s="286">
        <v>1</v>
      </c>
      <c r="I4" s="307" t="s">
        <v>1470</v>
      </c>
      <c r="J4" s="292">
        <f>IFERROR(VLOOKUP(Table5[[#This Row],[HCPCS code 2016 Q3]], ASP2016Q3[], 4, FALSE), "")</f>
        <v>1734.56</v>
      </c>
      <c r="K4" s="303">
        <f>IFERROR(Table5[[#This Row],[Payment Limit 2016Q3]]/Table5[[#This Row],[HCPCS code dosage 2016Q3]], "")</f>
        <v>1734.56</v>
      </c>
      <c r="L4" s="286" t="s">
        <v>280</v>
      </c>
      <c r="M4" s="286">
        <v>1</v>
      </c>
      <c r="N4" s="307" t="s">
        <v>1470</v>
      </c>
      <c r="O4" s="291">
        <f>IFERROR(VLOOKUP(Table5[[#This Row],[HCPCS code 2017 Q1]], ASP2017Q1[], 4, FALSE), "")</f>
        <v>1750.7139999999999</v>
      </c>
      <c r="P4" s="302">
        <f>IFERROR(Table5[[#This Row],[Payment Limit 2017Q1]]/Table5[[#This Row],[HCPCS code dosage 2017Q1]], "")</f>
        <v>1750.7139999999999</v>
      </c>
      <c r="Q4" s="275" t="s">
        <v>280</v>
      </c>
      <c r="R4" s="275">
        <v>1</v>
      </c>
      <c r="S4" s="275" t="s">
        <v>1470</v>
      </c>
      <c r="T4" s="279">
        <f>IFERROR(VLOOKUP(Table5[[#This Row],[HCPCS code 2017 Q3]], ASP2017Q3[], 4, FALSE), "")</f>
        <v>1781.9849999999999</v>
      </c>
      <c r="U4" s="279">
        <f>IFERROR(Table5[[#This Row],[Payment Limit 2017Q3]]/Table5[[#This Row],[HCPCS code dosage 2017Q3]], "")</f>
        <v>1781.9849999999999</v>
      </c>
      <c r="V4" s="374" t="s">
        <v>280</v>
      </c>
      <c r="W4" s="377">
        <v>1</v>
      </c>
      <c r="X4" s="142" t="s">
        <v>1470</v>
      </c>
      <c r="Y4" s="279">
        <v>1812.7650000000001</v>
      </c>
      <c r="Z4" s="370">
        <f>IFERROR(Table5[[#This Row],[Payment Limit 2018 Q1]]/Table5[[#This Row],[HCPCS code dosage 2018 Q1]],"")</f>
        <v>1812.7650000000001</v>
      </c>
      <c r="AA4" s="374" t="s">
        <v>280</v>
      </c>
      <c r="AB4" s="381">
        <v>1</v>
      </c>
      <c r="AC4" s="142" t="s">
        <v>1470</v>
      </c>
      <c r="AD4" s="378">
        <v>1843.2760000000001</v>
      </c>
      <c r="AE4" s="370">
        <f>IFERROR(Table5[[#This Row],[Payment Limit 2018 Q3]]/Table5[[#This Row],[HCPCS code dosage 2018 Q3]],"")</f>
        <v>1843.2760000000001</v>
      </c>
      <c r="AF4" s="275" t="s">
        <v>280</v>
      </c>
      <c r="AG4" s="122">
        <v>1882.06</v>
      </c>
      <c r="AH4" s="117" t="s">
        <v>280</v>
      </c>
      <c r="AI4" s="118" t="s">
        <v>1665</v>
      </c>
      <c r="AJ4" s="118" t="s">
        <v>1470</v>
      </c>
      <c r="AK4" s="115">
        <f>IFERROR(VLOOKUP(Table5[[#This Row],[HCPCS code 2019Q3]], ASP2019Q3[], 4, FALSE), "")</f>
        <v>1918.346</v>
      </c>
      <c r="AL4" s="72">
        <f>IFERROR(Table5[[#This Row],[Payment Limit 2019Q3]]/Table5[[#This Row],[HCPCS code dosage 2019Q3]], "")</f>
        <v>1918.346</v>
      </c>
      <c r="AM4" s="130" t="s">
        <v>280</v>
      </c>
      <c r="AN4" s="130" t="s">
        <v>1665</v>
      </c>
      <c r="AO4" s="130" t="s">
        <v>1470</v>
      </c>
      <c r="AP4" s="126">
        <f>IFERROR(VLOOKUP(Table5[[#This Row],[HCPCS code 2020Q1]], ASP2020Q1[], 4, FALSE), "")</f>
        <v>1949.17</v>
      </c>
      <c r="AQ4" s="77">
        <f>IFERROR(Table5[[#This Row],[Payment Limit 2020Q1]]/Table5[[#This Row],[HCPCS code dosage 2020Q1]], "")</f>
        <v>1949.17</v>
      </c>
      <c r="AR4" s="133" t="s">
        <v>280</v>
      </c>
      <c r="AS4" s="130" t="s">
        <v>1665</v>
      </c>
      <c r="AT4" s="130" t="s">
        <v>1470</v>
      </c>
      <c r="AU4" s="132">
        <f>IFERROR(VLOOKUP(Table5[[#This Row],[HCPCS code 2020Q3]], ASP2020Q3[], 4, FALSE), "")</f>
        <v>1986.4290000000001</v>
      </c>
      <c r="AV4" s="72">
        <f>IFERROR(Table5[[#This Row],[Payment limit 2020Q3]]/Table5[[#This Row],[HCPCS code dosage 2020Q3]],"")</f>
        <v>1986.4290000000001</v>
      </c>
      <c r="AW4" s="144" t="s">
        <v>280</v>
      </c>
      <c r="AX4" s="118" t="s">
        <v>1665</v>
      </c>
      <c r="AY4" s="144" t="s">
        <v>1470</v>
      </c>
      <c r="AZ4" s="144">
        <f>IFERROR(VLOOKUP(Table5[[#This Row],[HCPCS code 2021Q1]], ASP2021Q1[], 4, FALSE), "")</f>
        <v>2017.4490000000001</v>
      </c>
      <c r="BA4" s="122">
        <f>IFERROR(Table5[[#This Row],[Payment limit 2021Q1]]/Table5[[#This Row],[HCPCS code dosage 2021Q1]], "")</f>
        <v>2017.4490000000001</v>
      </c>
      <c r="BB4" s="147" t="s">
        <v>280</v>
      </c>
      <c r="BC4" s="118" t="s">
        <v>1665</v>
      </c>
      <c r="BD4" s="144" t="s">
        <v>1470</v>
      </c>
      <c r="BE4" s="144">
        <f>IFERROR(VLOOKUP(Table5[[#This Row],[HCPCS code 2021Q3]], ASP2021Q3[], 4, FALSE), "")</f>
        <v>2052.4749999999999</v>
      </c>
      <c r="BF4" s="122">
        <f>IFERROR(Table5[[#This Row],[Payment limit 2021Q3]]/Table5[[#This Row],[HCPCS code dosage 2021Q3]], "")</f>
        <v>2052.4749999999999</v>
      </c>
      <c r="BG4" s="147" t="s">
        <v>280</v>
      </c>
      <c r="BH4" s="118" t="s">
        <v>1665</v>
      </c>
      <c r="BI4" s="144" t="s">
        <v>1470</v>
      </c>
      <c r="BJ4" s="144">
        <f>IFERROR(VLOOKUP(Table5[[#This Row],[HCPCS code 2022Q1]], ASP2022Q1[], 4, FALSE), "")</f>
        <v>2129.1480000000001</v>
      </c>
      <c r="BK4" s="122">
        <f>IFERROR(Table5[[#This Row],[Payment limit 2022Q1]]/Table5[[#This Row],[HCPCS code dosage 2022Q1]], "")</f>
        <v>2129.1480000000001</v>
      </c>
      <c r="BL4" s="144" t="s">
        <v>280</v>
      </c>
      <c r="BM4" s="184">
        <v>1</v>
      </c>
      <c r="BN4" s="144" t="s">
        <v>1470</v>
      </c>
      <c r="BO4" s="144">
        <f>IFERROR(VLOOKUP(Table5[[#This Row],[HCPCS Code 2022Q3]], ASP2022Q3[], 4, FALSE), "")</f>
        <v>2194.489</v>
      </c>
      <c r="BP4" s="122">
        <f>IFERROR(Table5[[#This Row],[Payment limit 2022Q3]]/Table5[[#This Row],[HCPCS code dosage 2022Q3]], "")</f>
        <v>2194.489</v>
      </c>
      <c r="BQ4" s="144" t="s">
        <v>280</v>
      </c>
      <c r="BR4" s="118">
        <v>1</v>
      </c>
      <c r="BS4" s="144" t="s">
        <v>1470</v>
      </c>
      <c r="BT4" s="144">
        <v>2244.9189999999999</v>
      </c>
      <c r="BU4" s="144">
        <f>IFERROR(Table5[[#This Row],[Payment limit 2023Q1]]/Table5[[#This Row],[HCPCS code dosage 2023Q1]], "")</f>
        <v>2244.9189999999999</v>
      </c>
      <c r="BV4" s="79"/>
    </row>
    <row r="5" spans="1:74" x14ac:dyDescent="0.3">
      <c r="A5" s="62" t="s">
        <v>169</v>
      </c>
      <c r="B5" s="286" t="s">
        <v>280</v>
      </c>
      <c r="C5" s="286">
        <v>1</v>
      </c>
      <c r="D5" s="307" t="s">
        <v>1470</v>
      </c>
      <c r="E5" s="292">
        <f>IFERROR(VLOOKUP(Table5[[#This Row],[HCPCS code 2016 Q1]], ASP2016Q1[], 4, FALSE), "")</f>
        <v>1743.8150000000001</v>
      </c>
      <c r="F5" s="303">
        <f>IFERROR(Table5[[#This Row],[Payment Limit 2016Q1]]/Table5[[#This Row],[HCPCS code dosage 2016Q1]], "")</f>
        <v>1743.8150000000001</v>
      </c>
      <c r="G5" s="286" t="s">
        <v>280</v>
      </c>
      <c r="H5" s="286">
        <v>1</v>
      </c>
      <c r="I5" s="307" t="s">
        <v>1470</v>
      </c>
      <c r="J5" s="292">
        <f>IFERROR(VLOOKUP(Table5[[#This Row],[HCPCS code 2016 Q3]], ASP2016Q3[], 4, FALSE), "")</f>
        <v>1734.56</v>
      </c>
      <c r="K5" s="303">
        <f>IFERROR(Table5[[#This Row],[Payment Limit 2016Q3]]/Table5[[#This Row],[HCPCS code dosage 2016Q3]], "")</f>
        <v>1734.56</v>
      </c>
      <c r="L5" s="286" t="s">
        <v>280</v>
      </c>
      <c r="M5" s="286">
        <v>1</v>
      </c>
      <c r="N5" s="307" t="s">
        <v>1470</v>
      </c>
      <c r="O5" s="291">
        <f>IFERROR(VLOOKUP(Table5[[#This Row],[HCPCS code 2017 Q1]], ASP2017Q1[], 4, FALSE), "")</f>
        <v>1750.7139999999999</v>
      </c>
      <c r="P5" s="302">
        <f>IFERROR(Table5[[#This Row],[Payment Limit 2017Q1]]/Table5[[#This Row],[HCPCS code dosage 2017Q1]], "")</f>
        <v>1750.7139999999999</v>
      </c>
      <c r="Q5" s="275" t="s">
        <v>280</v>
      </c>
      <c r="R5" s="275">
        <v>1</v>
      </c>
      <c r="S5" s="275" t="s">
        <v>1470</v>
      </c>
      <c r="T5" s="279">
        <f>IFERROR(VLOOKUP(Table5[[#This Row],[HCPCS code 2017 Q3]], ASP2017Q3[], 4, FALSE), "")</f>
        <v>1781.9849999999999</v>
      </c>
      <c r="U5" s="279">
        <f>IFERROR(Table5[[#This Row],[Payment Limit 2017Q3]]/Table5[[#This Row],[HCPCS code dosage 2017Q3]], "")</f>
        <v>1781.9849999999999</v>
      </c>
      <c r="V5" s="374" t="s">
        <v>280</v>
      </c>
      <c r="W5" s="377">
        <v>1</v>
      </c>
      <c r="X5" s="142" t="s">
        <v>1470</v>
      </c>
      <c r="Y5" s="279">
        <v>1812.7650000000001</v>
      </c>
      <c r="Z5" s="370">
        <f>IFERROR(Table5[[#This Row],[Payment Limit 2018 Q1]]/Table5[[#This Row],[HCPCS code dosage 2018 Q1]],"")</f>
        <v>1812.7650000000001</v>
      </c>
      <c r="AA5" s="374" t="s">
        <v>280</v>
      </c>
      <c r="AB5" s="381">
        <v>1</v>
      </c>
      <c r="AC5" s="142" t="s">
        <v>1470</v>
      </c>
      <c r="AD5" s="378">
        <v>1843.2760000000001</v>
      </c>
      <c r="AE5" s="370">
        <f>IFERROR(Table5[[#This Row],[Payment Limit 2018 Q3]]/Table5[[#This Row],[HCPCS code dosage 2018 Q3]],"")</f>
        <v>1843.2760000000001</v>
      </c>
      <c r="AF5" s="275" t="s">
        <v>280</v>
      </c>
      <c r="AG5" s="122">
        <v>1882.06</v>
      </c>
      <c r="AH5" s="117" t="s">
        <v>280</v>
      </c>
      <c r="AI5" s="118" t="s">
        <v>1665</v>
      </c>
      <c r="AJ5" s="118" t="s">
        <v>1470</v>
      </c>
      <c r="AK5" s="115">
        <f>IFERROR(VLOOKUP(Table5[[#This Row],[HCPCS code 2019Q3]], ASP2019Q3[], 4, FALSE), "")</f>
        <v>1918.346</v>
      </c>
      <c r="AL5" s="140">
        <f>IFERROR(Table5[[#This Row],[Payment Limit 2019Q3]]/Table5[[#This Row],[HCPCS code dosage 2019Q3]], "")</f>
        <v>1918.346</v>
      </c>
      <c r="AM5" s="130" t="s">
        <v>280</v>
      </c>
      <c r="AN5" s="130" t="s">
        <v>1665</v>
      </c>
      <c r="AO5" s="130" t="s">
        <v>1470</v>
      </c>
      <c r="AP5" s="126">
        <f>IFERROR(VLOOKUP(Table5[[#This Row],[HCPCS code 2020Q1]], ASP2020Q1[], 4, FALSE), "")</f>
        <v>1949.17</v>
      </c>
      <c r="AQ5" s="141">
        <f>IFERROR(Table5[[#This Row],[Payment Limit 2020Q1]]/Table5[[#This Row],[HCPCS code dosage 2020Q1]], "")</f>
        <v>1949.17</v>
      </c>
      <c r="AR5" s="133" t="s">
        <v>280</v>
      </c>
      <c r="AS5" s="130" t="s">
        <v>1665</v>
      </c>
      <c r="AT5" s="130" t="s">
        <v>1470</v>
      </c>
      <c r="AU5" s="132">
        <f>IFERROR(VLOOKUP(Table5[[#This Row],[HCPCS code 2020Q3]], ASP2020Q3[], 4, FALSE), "")</f>
        <v>1986.4290000000001</v>
      </c>
      <c r="AV5" s="140">
        <f>IFERROR(Table5[[#This Row],[Payment limit 2020Q3]]/Table5[[#This Row],[HCPCS code dosage 2020Q3]],"")</f>
        <v>1986.4290000000001</v>
      </c>
      <c r="AW5" s="144" t="s">
        <v>280</v>
      </c>
      <c r="AX5" s="118" t="s">
        <v>1665</v>
      </c>
      <c r="AY5" s="144" t="s">
        <v>1470</v>
      </c>
      <c r="AZ5" s="144">
        <f>IFERROR(VLOOKUP(Table5[[#This Row],[HCPCS code 2021Q1]], ASP2021Q1[], 4, FALSE), "")</f>
        <v>2017.4490000000001</v>
      </c>
      <c r="BA5" s="144">
        <f>IFERROR(Table5[[#This Row],[Payment limit 2021Q1]]/Table5[[#This Row],[HCPCS code dosage 2021Q1]], "")</f>
        <v>2017.4490000000001</v>
      </c>
      <c r="BB5" s="147" t="s">
        <v>280</v>
      </c>
      <c r="BC5" s="118" t="s">
        <v>1665</v>
      </c>
      <c r="BD5" s="144" t="s">
        <v>1470</v>
      </c>
      <c r="BE5" s="144">
        <f>IFERROR(VLOOKUP(Table5[[#This Row],[HCPCS code 2021Q3]], ASP2021Q3[], 4, FALSE), "")</f>
        <v>2052.4749999999999</v>
      </c>
      <c r="BF5" s="144">
        <f>IFERROR(Table5[[#This Row],[Payment limit 2021Q3]]/Table5[[#This Row],[HCPCS code dosage 2021Q3]], "")</f>
        <v>2052.4749999999999</v>
      </c>
      <c r="BG5" s="147" t="s">
        <v>280</v>
      </c>
      <c r="BH5" s="118" t="s">
        <v>1665</v>
      </c>
      <c r="BI5" s="144" t="s">
        <v>1470</v>
      </c>
      <c r="BJ5" s="144">
        <f>IFERROR(VLOOKUP(Table5[[#This Row],[HCPCS code 2022Q1]], ASP2022Q1[], 4, FALSE), "")</f>
        <v>2129.1480000000001</v>
      </c>
      <c r="BK5" s="122">
        <f>IFERROR(Table5[[#This Row],[Payment limit 2022Q1]]/Table5[[#This Row],[HCPCS code dosage 2022Q1]], "")</f>
        <v>2129.1480000000001</v>
      </c>
      <c r="BL5" s="144" t="s">
        <v>280</v>
      </c>
      <c r="BM5" s="185">
        <v>1</v>
      </c>
      <c r="BN5" s="146" t="s">
        <v>1470</v>
      </c>
      <c r="BO5" s="146">
        <f>IFERROR(VLOOKUP(Table5[[#This Row],[HCPCS Code 2022Q3]], ASP2022Q3[], 4, FALSE), "")</f>
        <v>2194.489</v>
      </c>
      <c r="BP5" s="123">
        <f>IFERROR(Table5[[#This Row],[Payment limit 2022Q3]]/Table5[[#This Row],[HCPCS code dosage 2022Q3]], "")</f>
        <v>2194.489</v>
      </c>
      <c r="BQ5" s="146" t="s">
        <v>280</v>
      </c>
      <c r="BR5" s="120">
        <v>1</v>
      </c>
      <c r="BS5" s="146" t="s">
        <v>1470</v>
      </c>
      <c r="BT5" s="146">
        <v>2244.9189999999999</v>
      </c>
      <c r="BU5" s="146">
        <f>IFERROR(Table5[[#This Row],[Payment limit 2023Q1]]/Table5[[#This Row],[HCPCS code dosage 2023Q1]], "")</f>
        <v>2244.9189999999999</v>
      </c>
      <c r="BV5" s="196"/>
    </row>
    <row r="6" spans="1:74" x14ac:dyDescent="0.3">
      <c r="A6" s="69" t="s">
        <v>2726</v>
      </c>
      <c r="B6" s="287"/>
      <c r="C6" s="287"/>
      <c r="D6" s="308"/>
      <c r="E6" s="280" t="str">
        <f>IFERROR(VLOOKUP(Table5[[#This Row],[HCPCS code 2016 Q1]], ASP2016Q1[], 4, FALSE), "")</f>
        <v/>
      </c>
      <c r="F6" s="305" t="str">
        <f>IFERROR(Table5[[#This Row],[Payment Limit 2016Q1]]/Table5[[#This Row],[HCPCS code dosage 2016Q1]], "")</f>
        <v/>
      </c>
      <c r="G6" s="287"/>
      <c r="H6" s="287"/>
      <c r="I6" s="308"/>
      <c r="J6" s="280" t="str">
        <f>IFERROR(VLOOKUP(Table5[[#This Row],[HCPCS code 2016 Q3]], ASP2016Q3[], 4, FALSE), "")</f>
        <v/>
      </c>
      <c r="K6" s="305" t="str">
        <f>IFERROR(Table5[[#This Row],[Payment Limit 2016Q3]]/Table5[[#This Row],[HCPCS code dosage 2016Q3]], "")</f>
        <v/>
      </c>
      <c r="L6" s="273"/>
      <c r="M6" s="273"/>
      <c r="N6" s="275"/>
      <c r="O6" s="280" t="str">
        <f>IFERROR(VLOOKUP(Table5[[#This Row],[HCPCS code 2017 Q1]], ASP2017Q1[], 4, FALSE), "")</f>
        <v/>
      </c>
      <c r="P6" s="305" t="str">
        <f>IFERROR(Table5[[#This Row],[Payment Limit 2017Q1]]/Table5[[#This Row],[HCPCS code dosage 2017Q1]], "")</f>
        <v/>
      </c>
      <c r="Q6" s="142"/>
      <c r="R6" s="416"/>
      <c r="S6" s="416"/>
      <c r="T6" s="280" t="str">
        <f>IFERROR(VLOOKUP(Table5[[#This Row],[HCPCS code 2017 Q3]], ASP2017Q3[], 4, FALSE), "")</f>
        <v/>
      </c>
      <c r="U6" s="280" t="str">
        <f>IFERROR(Table5[[#This Row],[Payment Limit 2017Q3]]/Table5[[#This Row],[HCPCS code dosage 2017Q3]], "")</f>
        <v/>
      </c>
      <c r="V6" s="374"/>
      <c r="W6" s="377"/>
      <c r="X6" s="142"/>
      <c r="Y6" s="279"/>
      <c r="Z6" s="370" t="str">
        <f>IFERROR(Table5[[#This Row],[Payment Limit 2018 Q1]]/Table5[[#This Row],[HCPCS code dosage 2018 Q1]],"")</f>
        <v/>
      </c>
      <c r="AA6" s="374"/>
      <c r="AB6" s="381"/>
      <c r="AC6" s="142"/>
      <c r="AD6" s="378"/>
      <c r="AE6" s="305" t="str">
        <f>IFERROR(Table5[[#This Row],[Payment Limit 2018 Q3]]/Table5[[#This Row],[HCPCS code dosage 2018 Q3]],"")</f>
        <v/>
      </c>
      <c r="AF6" s="416"/>
      <c r="AG6" s="122"/>
      <c r="AH6" s="117"/>
      <c r="AI6" s="118"/>
      <c r="AJ6" s="118"/>
      <c r="AK6" s="132" t="str">
        <f>IFERROR(VLOOKUP(Table5[[#This Row],[HCPCS code 2019Q3]], ASP2019Q3[], 4, FALSE), "")</f>
        <v/>
      </c>
      <c r="AL6" s="72" t="str">
        <f>IFERROR(Table5[[#This Row],[Payment Limit 2019Q3]]/Table5[[#This Row],[HCPCS code dosage 2019Q3]], "")</f>
        <v/>
      </c>
      <c r="AM6" s="130"/>
      <c r="AN6" s="130"/>
      <c r="AO6" s="130"/>
      <c r="AP6" s="126" t="str">
        <f>IFERROR(VLOOKUP(Table5[[#This Row],[HCPCS code 2020Q1]], ASP2020Q1[], 4, FALSE), "")</f>
        <v/>
      </c>
      <c r="AQ6" s="77" t="str">
        <f>IFERROR(Table5[[#This Row],[Payment Limit 2020Q1]]/Table5[[#This Row],[HCPCS code dosage 2020Q1]], "")</f>
        <v/>
      </c>
      <c r="AR6" s="133"/>
      <c r="AS6" s="130"/>
      <c r="AT6" s="130"/>
      <c r="AU6" s="132" t="str">
        <f>IFERROR(VLOOKUP(Table5[[#This Row],[HCPCS code 2020Q3]], ASP2020Q3[], 4, FALSE), "")</f>
        <v/>
      </c>
      <c r="AV6" s="72" t="str">
        <f>IFERROR(Table5[[#This Row],[Payment limit 2020Q3]]/Table5[[#This Row],[HCPCS code dosage 2020Q3]],"")</f>
        <v/>
      </c>
      <c r="AW6" s="144"/>
      <c r="AX6" s="118"/>
      <c r="AY6" s="144"/>
      <c r="AZ6" s="144" t="str">
        <f>IFERROR(VLOOKUP(Table5[[#This Row],[HCPCS code 2021Q1]], ASP2021Q1[], 4, FALSE), "")</f>
        <v/>
      </c>
      <c r="BA6" s="122" t="str">
        <f>IFERROR(Table5[[#This Row],[Payment limit 2021Q1]]/Table5[[#This Row],[HCPCS code dosage 2021Q1]], "")</f>
        <v/>
      </c>
      <c r="BB6" s="147"/>
      <c r="BC6" s="118"/>
      <c r="BD6" s="144"/>
      <c r="BE6" s="144" t="str">
        <f>IFERROR(VLOOKUP(Table5[[#This Row],[HCPCS code 2021Q3]], ASP2021Q3[], 4, FALSE), "")</f>
        <v/>
      </c>
      <c r="BF6" s="122" t="str">
        <f>IFERROR(Table5[[#This Row],[Payment limit 2021Q3]]/Table5[[#This Row],[HCPCS code dosage 2021Q3]], "")</f>
        <v/>
      </c>
      <c r="BG6" s="147" t="s">
        <v>2025</v>
      </c>
      <c r="BH6" s="118">
        <v>2</v>
      </c>
      <c r="BI6" s="144" t="s">
        <v>1470</v>
      </c>
      <c r="BJ6" s="144">
        <f>IFERROR(VLOOKUP(Table5[[#This Row],[HCPCS code 2022Q1]], ASP2022Q1[], 4, FALSE), "")</f>
        <v>17.905000000000001</v>
      </c>
      <c r="BK6" s="122">
        <f>IFERROR(Table5[[#This Row],[Payment limit 2022Q1]]/Table5[[#This Row],[HCPCS code dosage 2022Q1]], "")</f>
        <v>8.9525000000000006</v>
      </c>
      <c r="BL6" s="144"/>
      <c r="BM6" s="184"/>
      <c r="BN6" s="144"/>
      <c r="BO6" s="144" t="str">
        <f>IFERROR(VLOOKUP(Table5[[#This Row],[HCPCS Code 2022Q3]], ASP2022Q3[], 4, FALSE), "")</f>
        <v/>
      </c>
      <c r="BP6" s="122" t="str">
        <f>IFERROR(Table5[[#This Row],[Payment limit 2022Q3]]/Table5[[#This Row],[HCPCS code dosage 2022Q3]], "")</f>
        <v/>
      </c>
      <c r="BQ6" s="144"/>
      <c r="BR6" s="521"/>
      <c r="BS6" s="144"/>
      <c r="BT6" s="144"/>
      <c r="BU6" s="144" t="str">
        <f>IFERROR(Table5[[#This Row],[Payment limit 2023Q1]]/Table5[[#This Row],[HCPCS code dosage 2023Q1]], "")</f>
        <v/>
      </c>
      <c r="BV6" s="79"/>
    </row>
    <row r="7" spans="1:74" x14ac:dyDescent="0.3">
      <c r="A7" s="69" t="s">
        <v>1699</v>
      </c>
      <c r="B7" s="273"/>
      <c r="C7" s="273"/>
      <c r="D7" s="275"/>
      <c r="E7" s="280" t="str">
        <f>IFERROR(VLOOKUP(Table5[[#This Row],[HCPCS code 2016 Q1]], ASP2016Q1[], 4, FALSE), "")</f>
        <v/>
      </c>
      <c r="F7" s="305" t="str">
        <f>IFERROR(Table5[[#This Row],[Payment Limit 2016Q1]]/Table5[[#This Row],[HCPCS code dosage 2016Q1]], "")</f>
        <v/>
      </c>
      <c r="G7" s="273"/>
      <c r="H7" s="273"/>
      <c r="I7" s="275"/>
      <c r="J7" s="280" t="str">
        <f>IFERROR(VLOOKUP(Table5[[#This Row],[HCPCS code 2016 Q3]], ASP2016Q3[], 4, FALSE), "")</f>
        <v/>
      </c>
      <c r="K7" s="305" t="str">
        <f>IFERROR(Table5[[#This Row],[Payment Limit 2016Q3]]/Table5[[#This Row],[HCPCS code dosage 2016Q3]], "")</f>
        <v/>
      </c>
      <c r="L7" s="273" t="s">
        <v>278</v>
      </c>
      <c r="M7" s="273">
        <v>1</v>
      </c>
      <c r="N7" s="275" t="s">
        <v>1470</v>
      </c>
      <c r="O7" s="291">
        <v>2.109</v>
      </c>
      <c r="P7" s="302">
        <f>IFERROR(Table5[[#This Row],[Payment Limit 2017Q1]]/Table5[[#This Row],[HCPCS code dosage 2017Q1]], "")</f>
        <v>2.109</v>
      </c>
      <c r="Q7" s="275" t="s">
        <v>278</v>
      </c>
      <c r="R7" s="275">
        <v>1</v>
      </c>
      <c r="S7" s="275" t="s">
        <v>1470</v>
      </c>
      <c r="T7" s="280">
        <v>2.109</v>
      </c>
      <c r="U7" s="280">
        <f>IFERROR(Table5[[#This Row],[Payment Limit 2017Q3]]/Table5[[#This Row],[HCPCS code dosage 2017Q3]], "")</f>
        <v>2.109</v>
      </c>
      <c r="V7" s="374" t="s">
        <v>278</v>
      </c>
      <c r="W7" s="377">
        <v>1</v>
      </c>
      <c r="X7" s="142" t="s">
        <v>1470</v>
      </c>
      <c r="Y7" s="280">
        <v>2.109</v>
      </c>
      <c r="Z7" s="305">
        <f>IFERROR(Table5[[#This Row],[Payment Limit 2018 Q1]]/Table5[[#This Row],[HCPCS code dosage 2018 Q1]],"")</f>
        <v>2.109</v>
      </c>
      <c r="AA7" s="374" t="s">
        <v>278</v>
      </c>
      <c r="AB7" s="381">
        <v>1</v>
      </c>
      <c r="AC7" s="142" t="s">
        <v>1470</v>
      </c>
      <c r="AD7" s="378">
        <v>2.109</v>
      </c>
      <c r="AE7" s="305">
        <f>IFERROR(Table5[[#This Row],[Payment Limit 2018 Q3]]/Table5[[#This Row],[HCPCS code dosage 2018 Q3]],"")</f>
        <v>2.109</v>
      </c>
      <c r="AF7" s="273" t="s">
        <v>278</v>
      </c>
      <c r="AG7" s="122">
        <v>2.109</v>
      </c>
      <c r="AH7" s="117" t="s">
        <v>278</v>
      </c>
      <c r="AI7" s="118">
        <v>1</v>
      </c>
      <c r="AJ7" s="118" t="s">
        <v>1470</v>
      </c>
      <c r="AK7" s="115">
        <f>IFERROR(VLOOKUP(Table5[[#This Row],[HCPCS code 2019Q3]], ASP2019Q3[], 4, FALSE), "")</f>
        <v>2.226</v>
      </c>
      <c r="AL7" s="72">
        <f>IFERROR(Table5[[#This Row],[Payment Limit 2019Q3]]/Table5[[#This Row],[HCPCS code dosage 2019Q3]], "")</f>
        <v>2.226</v>
      </c>
      <c r="AM7" s="130" t="s">
        <v>278</v>
      </c>
      <c r="AN7" s="130">
        <v>1</v>
      </c>
      <c r="AO7" s="130" t="s">
        <v>1470</v>
      </c>
      <c r="AP7" s="126">
        <f>IFERROR(VLOOKUP(Table5[[#This Row],[HCPCS code 2020Q1]], ASP2020Q1[], 4, FALSE), "")</f>
        <v>2.0870000000000002</v>
      </c>
      <c r="AQ7" s="77">
        <f>IFERROR(Table5[[#This Row],[Payment Limit 2020Q1]]/Table5[[#This Row],[HCPCS code dosage 2020Q1]], "")</f>
        <v>2.0870000000000002</v>
      </c>
      <c r="AR7" s="133" t="s">
        <v>278</v>
      </c>
      <c r="AS7" s="130">
        <v>1</v>
      </c>
      <c r="AT7" s="130" t="s">
        <v>1470</v>
      </c>
      <c r="AU7" s="132">
        <f>IFERROR(VLOOKUP(Table5[[#This Row],[HCPCS code 2020Q3]], ASP2020Q3[], 4, FALSE), "")</f>
        <v>1.8779999999999999</v>
      </c>
      <c r="AV7" s="72">
        <f>IFERROR(Table5[[#This Row],[Payment limit 2020Q3]]/Table5[[#This Row],[HCPCS code dosage 2020Q3]],"")</f>
        <v>1.8779999999999999</v>
      </c>
      <c r="AW7" s="144" t="s">
        <v>278</v>
      </c>
      <c r="AX7" s="118">
        <v>1</v>
      </c>
      <c r="AY7" s="144" t="s">
        <v>1470</v>
      </c>
      <c r="AZ7" s="144">
        <f>IFERROR(VLOOKUP(Table5[[#This Row],[HCPCS code 2021Q1]], ASP2021Q1[], 4, FALSE), "")</f>
        <v>1.593</v>
      </c>
      <c r="BA7" s="122">
        <f>IFERROR(Table5[[#This Row],[Payment limit 2021Q1]]/Table5[[#This Row],[HCPCS code dosage 2021Q1]], "")</f>
        <v>1.593</v>
      </c>
      <c r="BB7" s="147" t="s">
        <v>278</v>
      </c>
      <c r="BC7" s="118">
        <v>1</v>
      </c>
      <c r="BD7" s="144" t="s">
        <v>1470</v>
      </c>
      <c r="BE7" s="144">
        <f>IFERROR(VLOOKUP(Table5[[#This Row],[HCPCS code 2021Q3]], ASP2021Q3[], 4, FALSE), "")</f>
        <v>1.6120000000000001</v>
      </c>
      <c r="BF7" s="122">
        <f>IFERROR(Table5[[#This Row],[Payment limit 2021Q3]]/Table5[[#This Row],[HCPCS code dosage 2021Q3]], "")</f>
        <v>1.6120000000000001</v>
      </c>
      <c r="BG7" s="147" t="s">
        <v>278</v>
      </c>
      <c r="BH7" s="118">
        <v>1</v>
      </c>
      <c r="BI7" s="144" t="s">
        <v>1470</v>
      </c>
      <c r="BJ7" s="144">
        <f>IFERROR(VLOOKUP(Table5[[#This Row],[HCPCS code 2022Q1]], ASP2022Q1[], 4, FALSE), "")</f>
        <v>1.722</v>
      </c>
      <c r="BK7" s="122">
        <f>IFERROR(Table5[[#This Row],[Payment limit 2022Q1]]/Table5[[#This Row],[HCPCS code dosage 2022Q1]], "")</f>
        <v>1.722</v>
      </c>
      <c r="BL7" s="144" t="s">
        <v>278</v>
      </c>
      <c r="BM7" s="184">
        <v>1</v>
      </c>
      <c r="BN7" s="144" t="s">
        <v>1470</v>
      </c>
      <c r="BO7" s="144">
        <f>IFERROR(VLOOKUP(Table5[[#This Row],[HCPCS Code 2022Q3]], ASP2022Q3[], 4, FALSE), "")</f>
        <v>1.72</v>
      </c>
      <c r="BP7" s="122">
        <f>IFERROR(Table5[[#This Row],[Payment limit 2022Q3]]/Table5[[#This Row],[HCPCS code dosage 2022Q3]], "")</f>
        <v>1.72</v>
      </c>
      <c r="BQ7" s="144" t="s">
        <v>278</v>
      </c>
      <c r="BR7" s="118">
        <v>1</v>
      </c>
      <c r="BS7" s="144" t="s">
        <v>1470</v>
      </c>
      <c r="BT7" s="144">
        <v>1.7290000000000001</v>
      </c>
      <c r="BU7" s="144">
        <f>IFERROR(Table5[[#This Row],[Payment limit 2023Q1]]/Table5[[#This Row],[HCPCS code dosage 2023Q1]], "")</f>
        <v>1.7290000000000001</v>
      </c>
      <c r="BV7" s="79" t="s">
        <v>2641</v>
      </c>
    </row>
    <row r="8" spans="1:74" x14ac:dyDescent="0.3">
      <c r="A8" s="69" t="s">
        <v>1696</v>
      </c>
      <c r="B8" s="273" t="s">
        <v>1116</v>
      </c>
      <c r="C8" s="273">
        <v>5</v>
      </c>
      <c r="D8" s="275" t="s">
        <v>1470</v>
      </c>
      <c r="E8" s="280">
        <f>IFERROR(VLOOKUP(Table5[[#This Row],[HCPCS code 2016 Q1]], ASP2016Q1[], 4, FALSE), "")</f>
        <v>10.204000000000001</v>
      </c>
      <c r="F8" s="305">
        <f>IFERROR(Table5[[#This Row],[Payment Limit 2016Q1]]/Table5[[#This Row],[HCPCS code dosage 2016Q1]], "")</f>
        <v>2.0407999999999999</v>
      </c>
      <c r="G8" s="273" t="s">
        <v>1116</v>
      </c>
      <c r="H8" s="273">
        <v>5</v>
      </c>
      <c r="I8" s="275" t="s">
        <v>1470</v>
      </c>
      <c r="J8" s="280">
        <f>IFERROR(VLOOKUP(Table5[[#This Row],[HCPCS code 2016 Q3]], ASP2016Q3[], 4, FALSE), "")</f>
        <v>11.036</v>
      </c>
      <c r="K8" s="305">
        <f>IFERROR(Table5[[#This Row],[Payment Limit 2016Q3]]/Table5[[#This Row],[HCPCS code dosage 2016Q3]], "")</f>
        <v>2.2071999999999998</v>
      </c>
      <c r="L8" s="273" t="s">
        <v>1116</v>
      </c>
      <c r="M8" s="273">
        <v>5</v>
      </c>
      <c r="N8" s="275" t="s">
        <v>1470</v>
      </c>
      <c r="O8" s="291">
        <f>IFERROR(VLOOKUP(Table5[[#This Row],[HCPCS code 2017 Q1]], ASP2017Q1[], 4, FALSE), "")</f>
        <v>12.27</v>
      </c>
      <c r="P8" s="302">
        <f>IFERROR(Table5[[#This Row],[Payment Limit 2017Q1]]/Table5[[#This Row],[HCPCS code dosage 2017Q1]], "")</f>
        <v>2.4539999999999997</v>
      </c>
      <c r="Q8" s="275" t="s">
        <v>1116</v>
      </c>
      <c r="R8" s="275">
        <v>5</v>
      </c>
      <c r="S8" s="275" t="s">
        <v>1470</v>
      </c>
      <c r="T8" s="280">
        <f>IFERROR(VLOOKUP(Table5[[#This Row],[HCPCS code 2017 Q3]], ASP2017Q3[], 4, FALSE), "")</f>
        <v>9.4930000000000003</v>
      </c>
      <c r="U8" s="280">
        <f>IFERROR(Table5[[#This Row],[Payment Limit 2017Q3]]/Table5[[#This Row],[HCPCS code dosage 2017Q3]], "")</f>
        <v>1.8986000000000001</v>
      </c>
      <c r="V8" s="374" t="s">
        <v>1116</v>
      </c>
      <c r="W8" s="377">
        <v>5</v>
      </c>
      <c r="X8" s="142" t="s">
        <v>1470</v>
      </c>
      <c r="Y8" s="280">
        <v>6.6779999999999999</v>
      </c>
      <c r="Z8" s="305">
        <f>IFERROR(Table5[[#This Row],[Payment Limit 2018 Q1]]/Table5[[#This Row],[HCPCS code dosage 2018 Q1]],"")</f>
        <v>1.3355999999999999</v>
      </c>
      <c r="AA8" s="374" t="s">
        <v>1116</v>
      </c>
      <c r="AB8" s="381">
        <v>5</v>
      </c>
      <c r="AC8" s="142" t="s">
        <v>1470</v>
      </c>
      <c r="AD8" s="378">
        <v>7.4909999999999997</v>
      </c>
      <c r="AE8" s="305">
        <f>IFERROR(Table5[[#This Row],[Payment Limit 2018 Q3]]/Table5[[#This Row],[HCPCS code dosage 2018 Q3]],"")</f>
        <v>1.4982</v>
      </c>
      <c r="AF8" s="273" t="s">
        <v>1116</v>
      </c>
      <c r="AG8" s="195">
        <v>1.1603999999999999</v>
      </c>
      <c r="AH8" s="117" t="s">
        <v>1116</v>
      </c>
      <c r="AI8" s="118">
        <v>5</v>
      </c>
      <c r="AJ8" s="118" t="s">
        <v>1470</v>
      </c>
      <c r="AK8" s="115">
        <f>IFERROR(VLOOKUP(Table5[[#This Row],[HCPCS code 2019Q3]], ASP2019Q3[], 4, FALSE), "")</f>
        <v>4.9290000000000003</v>
      </c>
      <c r="AL8" s="140">
        <f>IFERROR(Table5[[#This Row],[Payment Limit 2019Q3]]/Table5[[#This Row],[HCPCS code dosage 2019Q3]], "")</f>
        <v>0.98580000000000001</v>
      </c>
      <c r="AM8" s="130" t="s">
        <v>1116</v>
      </c>
      <c r="AN8" s="130">
        <v>5</v>
      </c>
      <c r="AO8" s="130" t="s">
        <v>1470</v>
      </c>
      <c r="AP8" s="126">
        <f>IFERROR(VLOOKUP(Table5[[#This Row],[HCPCS code 2020Q1]], ASP2020Q1[], 4, FALSE), "")</f>
        <v>4.8689999999999998</v>
      </c>
      <c r="AQ8" s="141">
        <f>IFERROR(Table5[[#This Row],[Payment Limit 2020Q1]]/Table5[[#This Row],[HCPCS code dosage 2020Q1]], "")</f>
        <v>0.9738</v>
      </c>
      <c r="AR8" s="133" t="s">
        <v>1116</v>
      </c>
      <c r="AS8" s="130">
        <v>5</v>
      </c>
      <c r="AT8" s="130" t="s">
        <v>1470</v>
      </c>
      <c r="AU8" s="132">
        <f>IFERROR(VLOOKUP(Table5[[#This Row],[HCPCS code 2020Q3]], ASP2020Q3[], 4, FALSE), "")</f>
        <v>4.8739999999999997</v>
      </c>
      <c r="AV8" s="140">
        <f>IFERROR(Table5[[#This Row],[Payment limit 2020Q3]]/Table5[[#This Row],[HCPCS code dosage 2020Q3]],"")</f>
        <v>0.97479999999999989</v>
      </c>
      <c r="AW8" s="144" t="s">
        <v>1116</v>
      </c>
      <c r="AX8" s="118">
        <v>5</v>
      </c>
      <c r="AY8" s="144" t="s">
        <v>1470</v>
      </c>
      <c r="AZ8" s="144">
        <f>IFERROR(VLOOKUP(Table5[[#This Row],[HCPCS code 2021Q1]], ASP2021Q1[], 4, FALSE), "")</f>
        <v>4.2960000000000003</v>
      </c>
      <c r="BA8" s="144">
        <f>IFERROR(Table5[[#This Row],[Payment limit 2021Q1]]/Table5[[#This Row],[HCPCS code dosage 2021Q1]], "")</f>
        <v>0.85920000000000007</v>
      </c>
      <c r="BB8" s="147" t="s">
        <v>1116</v>
      </c>
      <c r="BC8" s="118">
        <v>5</v>
      </c>
      <c r="BD8" s="144" t="s">
        <v>1470</v>
      </c>
      <c r="BE8" s="144">
        <f>IFERROR(VLOOKUP(Table5[[#This Row],[HCPCS code 2021Q3]], ASP2021Q3[], 4, FALSE), "")</f>
        <v>4.194</v>
      </c>
      <c r="BF8" s="144">
        <f>IFERROR(Table5[[#This Row],[Payment limit 2021Q3]]/Table5[[#This Row],[HCPCS code dosage 2021Q3]], "")</f>
        <v>0.83879999999999999</v>
      </c>
      <c r="BG8" s="147" t="s">
        <v>1116</v>
      </c>
      <c r="BH8" s="118">
        <v>5</v>
      </c>
      <c r="BI8" s="144" t="s">
        <v>1470</v>
      </c>
      <c r="BJ8" s="144">
        <f>IFERROR(VLOOKUP(Table5[[#This Row],[HCPCS code 2022Q1]], ASP2022Q1[], 4, FALSE), "")</f>
        <v>4.1909999999999998</v>
      </c>
      <c r="BK8" s="144">
        <f>IFERROR(Table5[[#This Row],[Payment limit 2022Q1]]/Table5[[#This Row],[HCPCS code dosage 2022Q1]], "")</f>
        <v>0.83819999999999995</v>
      </c>
      <c r="BL8" s="146" t="s">
        <v>1116</v>
      </c>
      <c r="BM8" s="185">
        <v>5</v>
      </c>
      <c r="BN8" s="146" t="s">
        <v>1470</v>
      </c>
      <c r="BO8" s="146">
        <f>IFERROR(VLOOKUP(Table5[[#This Row],[HCPCS Code 2022Q3]], ASP2022Q3[], 4, FALSE), "")</f>
        <v>3.7010000000000001</v>
      </c>
      <c r="BP8" s="123">
        <f>IFERROR(Table5[[#This Row],[Payment limit 2022Q3]]/Table5[[#This Row],[HCPCS code dosage 2022Q3]], "")</f>
        <v>0.74019999999999997</v>
      </c>
      <c r="BQ8" s="146" t="s">
        <v>1116</v>
      </c>
      <c r="BR8" s="120">
        <v>5</v>
      </c>
      <c r="BS8" s="146" t="s">
        <v>1470</v>
      </c>
      <c r="BT8" s="146">
        <v>3.2360000000000002</v>
      </c>
      <c r="BU8" s="146">
        <f>IFERROR(Table5[[#This Row],[Payment limit 2023Q1]]/Table5[[#This Row],[HCPCS code dosage 2023Q1]], "")</f>
        <v>0.6472</v>
      </c>
      <c r="BV8" s="196"/>
    </row>
    <row r="9" spans="1:74" x14ac:dyDescent="0.3">
      <c r="A9" s="62" t="s">
        <v>146</v>
      </c>
      <c r="B9" s="286" t="s">
        <v>1146</v>
      </c>
      <c r="C9" s="286">
        <v>1</v>
      </c>
      <c r="D9" s="307" t="s">
        <v>1470</v>
      </c>
      <c r="E9" s="292">
        <f>IFERROR(VLOOKUP(Table5[[#This Row],[HCPCS code 2016 Q1]], ASP2016Q1[], 4, FALSE), "")</f>
        <v>59.262</v>
      </c>
      <c r="F9" s="303">
        <f>IFERROR(Table5[[#This Row],[Payment Limit 2016Q1]]/Table5[[#This Row],[HCPCS code dosage 2016Q1]], "")</f>
        <v>59.262</v>
      </c>
      <c r="G9" s="286" t="s">
        <v>1146</v>
      </c>
      <c r="H9" s="286">
        <v>1</v>
      </c>
      <c r="I9" s="307" t="s">
        <v>1470</v>
      </c>
      <c r="J9" s="292">
        <f>IFERROR(VLOOKUP(Table5[[#This Row],[HCPCS code 2016 Q3]], ASP2016Q3[], 4, FALSE), "")</f>
        <v>65.117999999999995</v>
      </c>
      <c r="K9" s="303">
        <f>IFERROR(Table5[[#This Row],[Payment Limit 2016Q3]]/Table5[[#This Row],[HCPCS code dosage 2016Q3]], "")</f>
        <v>65.117999999999995</v>
      </c>
      <c r="L9" s="286" t="s">
        <v>1146</v>
      </c>
      <c r="M9" s="286">
        <v>1</v>
      </c>
      <c r="N9" s="307" t="s">
        <v>1470</v>
      </c>
      <c r="O9" s="291">
        <f>IFERROR(VLOOKUP(Table5[[#This Row],[HCPCS code 2017 Q1]], ASP2017Q1[], 4, FALSE), "")</f>
        <v>64.983999999999995</v>
      </c>
      <c r="P9" s="302">
        <f>IFERROR(Table5[[#This Row],[Payment Limit 2017Q1]]/Table5[[#This Row],[HCPCS code dosage 2017Q1]], "")</f>
        <v>64.983999999999995</v>
      </c>
      <c r="Q9" s="275" t="s">
        <v>1146</v>
      </c>
      <c r="R9" s="275">
        <v>1</v>
      </c>
      <c r="S9" s="275" t="s">
        <v>1470</v>
      </c>
      <c r="T9" s="279">
        <f>IFERROR(VLOOKUP(Table5[[#This Row],[HCPCS code 2017 Q3]], ASP2017Q3[], 4, FALSE), "")</f>
        <v>70.938000000000002</v>
      </c>
      <c r="U9" s="279">
        <f>IFERROR(Table5[[#This Row],[Payment Limit 2017Q3]]/Table5[[#This Row],[HCPCS code dosage 2017Q3]], "")</f>
        <v>70.938000000000002</v>
      </c>
      <c r="V9" s="374" t="s">
        <v>1146</v>
      </c>
      <c r="W9" s="377">
        <v>1</v>
      </c>
      <c r="X9" s="142" t="s">
        <v>1470</v>
      </c>
      <c r="Y9" s="279">
        <v>71.054000000000002</v>
      </c>
      <c r="Z9" s="370">
        <f>IFERROR(Table5[[#This Row],[Payment Limit 2018 Q1]]/Table5[[#This Row],[HCPCS code dosage 2018 Q1]],"")</f>
        <v>71.054000000000002</v>
      </c>
      <c r="AA9" s="374" t="s">
        <v>1146</v>
      </c>
      <c r="AB9" s="381">
        <v>1</v>
      </c>
      <c r="AC9" s="142" t="s">
        <v>1470</v>
      </c>
      <c r="AD9" s="378">
        <v>77.063999999999993</v>
      </c>
      <c r="AE9" s="370">
        <f>IFERROR(Table5[[#This Row],[Payment Limit 2018 Q3]]/Table5[[#This Row],[HCPCS code dosage 2018 Q3]],"")</f>
        <v>77.063999999999993</v>
      </c>
      <c r="AF9" s="275" t="s">
        <v>1146</v>
      </c>
      <c r="AG9" s="122"/>
      <c r="AH9" s="117" t="s">
        <v>1146</v>
      </c>
      <c r="AI9" s="118" t="s">
        <v>1665</v>
      </c>
      <c r="AJ9" s="118" t="s">
        <v>1470</v>
      </c>
      <c r="AK9" s="115">
        <f>IFERROR(VLOOKUP(Table5[[#This Row],[HCPCS code 2019Q3]], ASP2019Q3[], 4, FALSE), "")</f>
        <v>51.228999999999999</v>
      </c>
      <c r="AL9" s="72">
        <f>IFERROR(Table5[[#This Row],[Payment Limit 2019Q3]]/Table5[[#This Row],[HCPCS code dosage 2019Q3]], "")</f>
        <v>51.228999999999999</v>
      </c>
      <c r="AM9" s="130" t="s">
        <v>1146</v>
      </c>
      <c r="AN9" s="130" t="s">
        <v>1665</v>
      </c>
      <c r="AO9" s="130" t="s">
        <v>1470</v>
      </c>
      <c r="AP9" s="126">
        <f>IFERROR(VLOOKUP(Table5[[#This Row],[HCPCS code 2020Q1]], ASP2020Q1[], 4, FALSE), "")</f>
        <v>44.073999999999998</v>
      </c>
      <c r="AQ9" s="77">
        <f>IFERROR(Table5[[#This Row],[Payment Limit 2020Q1]]/Table5[[#This Row],[HCPCS code dosage 2020Q1]], "")</f>
        <v>44.073999999999998</v>
      </c>
      <c r="AR9" s="133" t="s">
        <v>1146</v>
      </c>
      <c r="AS9" s="130" t="s">
        <v>1665</v>
      </c>
      <c r="AT9" s="130" t="s">
        <v>1470</v>
      </c>
      <c r="AU9" s="132">
        <f>IFERROR(VLOOKUP(Table5[[#This Row],[HCPCS code 2020Q3]], ASP2020Q3[], 4, FALSE), "")</f>
        <v>28.669</v>
      </c>
      <c r="AV9" s="72">
        <f>IFERROR(Table5[[#This Row],[Payment limit 2020Q3]]/Table5[[#This Row],[HCPCS code dosage 2020Q3]],"")</f>
        <v>28.669</v>
      </c>
      <c r="AW9" s="144" t="s">
        <v>1146</v>
      </c>
      <c r="AX9" s="118" t="s">
        <v>1665</v>
      </c>
      <c r="AY9" s="144" t="s">
        <v>1470</v>
      </c>
      <c r="AZ9" s="144">
        <f>IFERROR(VLOOKUP(Table5[[#This Row],[HCPCS code 2021Q1]], ASP2021Q1[], 4, FALSE), "")</f>
        <v>17.823</v>
      </c>
      <c r="BA9" s="122">
        <f>IFERROR(Table5[[#This Row],[Payment limit 2021Q1]]/Table5[[#This Row],[HCPCS code dosage 2021Q1]], "")</f>
        <v>17.823</v>
      </c>
      <c r="BB9" s="147" t="s">
        <v>1146</v>
      </c>
      <c r="BC9" s="118" t="s">
        <v>1665</v>
      </c>
      <c r="BD9" s="144" t="s">
        <v>1470</v>
      </c>
      <c r="BE9" s="144">
        <f>IFERROR(VLOOKUP(Table5[[#This Row],[HCPCS code 2021Q3]], ASP2021Q3[], 4, FALSE), "")</f>
        <v>18.431000000000001</v>
      </c>
      <c r="BF9" s="122">
        <f>IFERROR(Table5[[#This Row],[Payment limit 2021Q3]]/Table5[[#This Row],[HCPCS code dosage 2021Q3]], "")</f>
        <v>18.431000000000001</v>
      </c>
      <c r="BG9" s="147" t="s">
        <v>1146</v>
      </c>
      <c r="BH9" s="118" t="s">
        <v>1665</v>
      </c>
      <c r="BI9" s="144" t="s">
        <v>1470</v>
      </c>
      <c r="BJ9" s="144">
        <f>IFERROR(VLOOKUP(Table5[[#This Row],[HCPCS code 2022Q1]], ASP2022Q1[], 4, FALSE), "")</f>
        <v>12.811</v>
      </c>
      <c r="BK9" s="122">
        <f>IFERROR(Table5[[#This Row],[Payment limit 2022Q1]]/Table5[[#This Row],[HCPCS code dosage 2022Q1]], "")</f>
        <v>12.811</v>
      </c>
      <c r="BL9" s="144" t="s">
        <v>1146</v>
      </c>
      <c r="BM9" s="184">
        <v>1</v>
      </c>
      <c r="BN9" s="144" t="s">
        <v>1470</v>
      </c>
      <c r="BO9" s="144">
        <f>IFERROR(VLOOKUP(Table5[[#This Row],[HCPCS Code 2022Q3]], ASP2022Q3[], 4, FALSE), "")</f>
        <v>12.334</v>
      </c>
      <c r="BP9" s="122">
        <f>IFERROR(Table5[[#This Row],[Payment limit 2022Q3]]/Table5[[#This Row],[HCPCS code dosage 2022Q3]], "")</f>
        <v>12.334</v>
      </c>
      <c r="BQ9" s="144" t="s">
        <v>1146</v>
      </c>
      <c r="BR9" s="118">
        <v>1</v>
      </c>
      <c r="BS9" s="144" t="s">
        <v>1470</v>
      </c>
      <c r="BT9" s="144">
        <v>15.907</v>
      </c>
      <c r="BU9" s="144">
        <f>IFERROR(Table5[[#This Row],[Payment limit 2023Q1]]/Table5[[#This Row],[HCPCS code dosage 2023Q1]], "")</f>
        <v>15.907</v>
      </c>
      <c r="BV9" s="79"/>
    </row>
    <row r="10" spans="1:74" x14ac:dyDescent="0.3">
      <c r="A10" s="62" t="s">
        <v>27</v>
      </c>
      <c r="B10" s="286"/>
      <c r="C10" s="286"/>
      <c r="D10" s="307"/>
      <c r="E10" s="292" t="str">
        <f>IFERROR(VLOOKUP(Table5[[#This Row],[HCPCS code 2016 Q1]], ASP2016Q1[], 4, FALSE), "")</f>
        <v/>
      </c>
      <c r="F10" s="303" t="str">
        <f>IFERROR(Table5[[#This Row],[Payment Limit 2016Q1]]/Table5[[#This Row],[HCPCS code dosage 2016Q1]], "")</f>
        <v/>
      </c>
      <c r="G10" s="286"/>
      <c r="H10" s="286"/>
      <c r="I10" s="307"/>
      <c r="J10" s="292" t="str">
        <f>IFERROR(VLOOKUP(Table5[[#This Row],[HCPCS code 2016 Q3]], ASP2016Q3[], 4, FALSE), "")</f>
        <v/>
      </c>
      <c r="K10" s="303" t="str">
        <f>IFERROR(Table5[[#This Row],[Payment Limit 2016Q3]]/Table5[[#This Row],[HCPCS code dosage 2016Q3]], "")</f>
        <v/>
      </c>
      <c r="L10" s="286" t="s">
        <v>1151</v>
      </c>
      <c r="M10" s="286">
        <v>10</v>
      </c>
      <c r="N10" s="307" t="s">
        <v>1470</v>
      </c>
      <c r="O10" s="291">
        <v>75.792000000000002</v>
      </c>
      <c r="P10" s="302">
        <f>IFERROR(Table5[[#This Row],[Payment Limit 2017Q1]]/Table5[[#This Row],[HCPCS code dosage 2017Q1]], "")</f>
        <v>7.5792000000000002</v>
      </c>
      <c r="Q10" s="275" t="s">
        <v>1151</v>
      </c>
      <c r="R10" s="275">
        <v>10</v>
      </c>
      <c r="S10" s="275" t="s">
        <v>1470</v>
      </c>
      <c r="T10" s="279">
        <v>75.792000000000002</v>
      </c>
      <c r="U10" s="279">
        <f>IFERROR(Table5[[#This Row],[Payment Limit 2017Q3]]/Table5[[#This Row],[HCPCS code dosage 2017Q3]], "")</f>
        <v>7.5792000000000002</v>
      </c>
      <c r="V10" s="374" t="s">
        <v>1151</v>
      </c>
      <c r="W10" s="377">
        <v>10</v>
      </c>
      <c r="X10" s="142" t="s">
        <v>1470</v>
      </c>
      <c r="Y10" s="279">
        <v>75.792000000000002</v>
      </c>
      <c r="Z10" s="370">
        <f>IFERROR(Table5[[#This Row],[Payment Limit 2018 Q1]]/Table5[[#This Row],[HCPCS code dosage 2018 Q1]],"")</f>
        <v>7.5792000000000002</v>
      </c>
      <c r="AA10" s="374" t="s">
        <v>1151</v>
      </c>
      <c r="AB10" s="381">
        <v>10</v>
      </c>
      <c r="AC10" s="142" t="s">
        <v>1470</v>
      </c>
      <c r="AD10" s="378">
        <v>76.894999999999996</v>
      </c>
      <c r="AE10" s="370">
        <f>IFERROR(Table5[[#This Row],[Payment Limit 2018 Q3]]/Table5[[#This Row],[HCPCS code dosage 2018 Q3]],"")</f>
        <v>7.6894999999999998</v>
      </c>
      <c r="AF10" s="275" t="s">
        <v>1151</v>
      </c>
      <c r="AG10" s="122">
        <v>7.7759</v>
      </c>
      <c r="AH10" s="117" t="s">
        <v>1151</v>
      </c>
      <c r="AI10" s="118" t="s">
        <v>1664</v>
      </c>
      <c r="AJ10" s="118" t="s">
        <v>1470</v>
      </c>
      <c r="AK10" s="115">
        <f>IFERROR(VLOOKUP(Table5[[#This Row],[HCPCS code 2019Q3]], ASP2019Q3[], 4, FALSE), "")</f>
        <v>77.177999999999997</v>
      </c>
      <c r="AL10" s="72">
        <f>IFERROR(Table5[[#This Row],[Payment Limit 2019Q3]]/Table5[[#This Row],[HCPCS code dosage 2019Q3]], "")</f>
        <v>7.7177999999999995</v>
      </c>
      <c r="AM10" s="130" t="s">
        <v>1151</v>
      </c>
      <c r="AN10" s="130" t="s">
        <v>1664</v>
      </c>
      <c r="AO10" s="130" t="s">
        <v>1470</v>
      </c>
      <c r="AP10" s="126">
        <f>IFERROR(VLOOKUP(Table5[[#This Row],[HCPCS code 2020Q1]], ASP2020Q1[], 4, FALSE), "")</f>
        <v>77.856999999999999</v>
      </c>
      <c r="AQ10" s="77">
        <f>IFERROR(Table5[[#This Row],[Payment Limit 2020Q1]]/Table5[[#This Row],[HCPCS code dosage 2020Q1]], "")</f>
        <v>7.7857000000000003</v>
      </c>
      <c r="AR10" s="133" t="s">
        <v>1151</v>
      </c>
      <c r="AS10" s="130" t="s">
        <v>1664</v>
      </c>
      <c r="AT10" s="130" t="s">
        <v>1470</v>
      </c>
      <c r="AU10" s="132">
        <f>IFERROR(VLOOKUP(Table5[[#This Row],[HCPCS code 2020Q3]], ASP2020Q3[], 4, FALSE), "")</f>
        <v>78.492999999999995</v>
      </c>
      <c r="AV10" s="72">
        <f>IFERROR(Table5[[#This Row],[Payment limit 2020Q3]]/Table5[[#This Row],[HCPCS code dosage 2020Q3]],"")</f>
        <v>7.8492999999999995</v>
      </c>
      <c r="AW10" s="144" t="s">
        <v>1151</v>
      </c>
      <c r="AX10" s="118" t="s">
        <v>1664</v>
      </c>
      <c r="AY10" s="144" t="s">
        <v>1470</v>
      </c>
      <c r="AZ10" s="144">
        <f>IFERROR(VLOOKUP(Table5[[#This Row],[HCPCS code 2021Q1]], ASP2021Q1[], 4, FALSE), "")</f>
        <v>78.180999999999997</v>
      </c>
      <c r="BA10" s="122">
        <f>IFERROR(Table5[[#This Row],[Payment limit 2021Q1]]/Table5[[#This Row],[HCPCS code dosage 2021Q1]], "")</f>
        <v>7.8180999999999994</v>
      </c>
      <c r="BB10" s="147" t="s">
        <v>1151</v>
      </c>
      <c r="BC10" s="118" t="s">
        <v>1664</v>
      </c>
      <c r="BD10" s="144" t="s">
        <v>1470</v>
      </c>
      <c r="BE10" s="144">
        <f>IFERROR(VLOOKUP(Table5[[#This Row],[HCPCS code 2021Q3]], ASP2021Q3[], 4, FALSE), "")</f>
        <v>79.787000000000006</v>
      </c>
      <c r="BF10" s="122">
        <f>IFERROR(Table5[[#This Row],[Payment limit 2021Q3]]/Table5[[#This Row],[HCPCS code dosage 2021Q3]], "")</f>
        <v>7.9787000000000008</v>
      </c>
      <c r="BG10" s="147" t="s">
        <v>1151</v>
      </c>
      <c r="BH10" s="118" t="s">
        <v>1664</v>
      </c>
      <c r="BI10" s="144" t="s">
        <v>1470</v>
      </c>
      <c r="BJ10" s="144">
        <f>IFERROR(VLOOKUP(Table5[[#This Row],[HCPCS code 2022Q1]], ASP2022Q1[], 4, FALSE), "")</f>
        <v>79.575999999999993</v>
      </c>
      <c r="BK10" s="122">
        <f>IFERROR(Table5[[#This Row],[Payment limit 2022Q1]]/Table5[[#This Row],[HCPCS code dosage 2022Q1]], "")</f>
        <v>7.9575999999999993</v>
      </c>
      <c r="BL10" s="144" t="s">
        <v>1151</v>
      </c>
      <c r="BM10" s="184">
        <v>10</v>
      </c>
      <c r="BN10" s="144" t="s">
        <v>1470</v>
      </c>
      <c r="BO10" s="144">
        <f>IFERROR(VLOOKUP(Table5[[#This Row],[HCPCS Code 2022Q3]], ASP2022Q3[], 4, FALSE), "")</f>
        <v>82.269000000000005</v>
      </c>
      <c r="BP10" s="122">
        <f>IFERROR(Table5[[#This Row],[Payment limit 2022Q3]]/Table5[[#This Row],[HCPCS code dosage 2022Q3]], "")</f>
        <v>8.2269000000000005</v>
      </c>
      <c r="BQ10" s="144" t="s">
        <v>1151</v>
      </c>
      <c r="BR10" s="118">
        <v>10</v>
      </c>
      <c r="BS10" s="144" t="s">
        <v>1470</v>
      </c>
      <c r="BT10" s="144">
        <v>80.799000000000007</v>
      </c>
      <c r="BU10" s="144">
        <f>IFERROR(Table5[[#This Row],[Payment limit 2023Q1]]/Table5[[#This Row],[HCPCS code dosage 2023Q1]], "")</f>
        <v>8.0799000000000003</v>
      </c>
      <c r="BV10" s="79" t="s">
        <v>2639</v>
      </c>
    </row>
    <row r="11" spans="1:74" x14ac:dyDescent="0.3">
      <c r="A11" s="62" t="s">
        <v>1833</v>
      </c>
      <c r="B11" s="286" t="s">
        <v>1167</v>
      </c>
      <c r="C11" s="286">
        <v>10</v>
      </c>
      <c r="D11" s="307" t="s">
        <v>1470</v>
      </c>
      <c r="E11" s="292">
        <f>IFERROR(VLOOKUP(Table5[[#This Row],[HCPCS code 2016 Q1]], ASP2016Q1[], 4, FALSE), "")</f>
        <v>70.841999999999999</v>
      </c>
      <c r="F11" s="303">
        <f>IFERROR(Table5[[#This Row],[Payment Limit 2016Q1]]/Table5[[#This Row],[HCPCS code dosage 2016Q1]], "")</f>
        <v>7.0842000000000001</v>
      </c>
      <c r="G11" s="286" t="s">
        <v>1167</v>
      </c>
      <c r="H11" s="286">
        <v>10</v>
      </c>
      <c r="I11" s="307" t="s">
        <v>1470</v>
      </c>
      <c r="J11" s="292">
        <f>IFERROR(VLOOKUP(Table5[[#This Row],[HCPCS code 2016 Q3]], ASP2016Q3[], 4, FALSE), "")</f>
        <v>72.203000000000003</v>
      </c>
      <c r="K11" s="303">
        <f>IFERROR(Table5[[#This Row],[Payment Limit 2016Q3]]/Table5[[#This Row],[HCPCS code dosage 2016Q3]], "")</f>
        <v>7.2202999999999999</v>
      </c>
      <c r="L11" s="286" t="s">
        <v>1167</v>
      </c>
      <c r="M11" s="286">
        <v>10</v>
      </c>
      <c r="N11" s="307" t="s">
        <v>1470</v>
      </c>
      <c r="O11" s="291">
        <f>IFERROR(VLOOKUP(Table5[[#This Row],[HCPCS code 2017 Q1]], ASP2017Q1[], 4, FALSE), "")</f>
        <v>73.725999999999999</v>
      </c>
      <c r="P11" s="302">
        <f>IFERROR(Table5[[#This Row],[Payment Limit 2017Q1]]/Table5[[#This Row],[HCPCS code dosage 2017Q1]], "")</f>
        <v>7.3726000000000003</v>
      </c>
      <c r="Q11" s="275" t="s">
        <v>1167</v>
      </c>
      <c r="R11" s="275">
        <v>10</v>
      </c>
      <c r="S11" s="275" t="s">
        <v>1470</v>
      </c>
      <c r="T11" s="279">
        <f>IFERROR(VLOOKUP(Table5[[#This Row],[HCPCS code 2017 Q3]], ASP2017Q3[], 4, FALSE), "")</f>
        <v>74.841999999999999</v>
      </c>
      <c r="U11" s="279">
        <f>IFERROR(Table5[[#This Row],[Payment Limit 2017Q3]]/Table5[[#This Row],[HCPCS code dosage 2017Q3]], "")</f>
        <v>7.4841999999999995</v>
      </c>
      <c r="V11" s="374" t="s">
        <v>1167</v>
      </c>
      <c r="W11" s="377">
        <v>10</v>
      </c>
      <c r="X11" s="142" t="s">
        <v>1470</v>
      </c>
      <c r="Y11" s="279">
        <v>76.66</v>
      </c>
      <c r="Z11" s="370">
        <f>IFERROR(Table5[[#This Row],[Payment Limit 2018 Q1]]/Table5[[#This Row],[HCPCS code dosage 2018 Q1]],"")</f>
        <v>7.6659999999999995</v>
      </c>
      <c r="AA11" s="374" t="s">
        <v>1167</v>
      </c>
      <c r="AB11" s="381">
        <v>10</v>
      </c>
      <c r="AC11" s="142" t="s">
        <v>1470</v>
      </c>
      <c r="AD11" s="378">
        <v>78.852999999999994</v>
      </c>
      <c r="AE11" s="370">
        <f>IFERROR(Table5[[#This Row],[Payment Limit 2018 Q3]]/Table5[[#This Row],[HCPCS code dosage 2018 Q3]],"")</f>
        <v>7.8852999999999991</v>
      </c>
      <c r="AF11" s="275" t="s">
        <v>1167</v>
      </c>
      <c r="AG11" s="122">
        <v>8.1179000000000006</v>
      </c>
      <c r="AH11" s="117" t="s">
        <v>1167</v>
      </c>
      <c r="AI11" s="118" t="s">
        <v>1664</v>
      </c>
      <c r="AJ11" s="118" t="s">
        <v>1470</v>
      </c>
      <c r="AK11" s="115">
        <f>IFERROR(VLOOKUP(Table5[[#This Row],[HCPCS code 2019Q3]], ASP2019Q3[], 4, FALSE), "")</f>
        <v>81.281999999999996</v>
      </c>
      <c r="AL11" s="72">
        <f>IFERROR(Table5[[#This Row],[Payment Limit 2019Q3]]/Table5[[#This Row],[HCPCS code dosage 2019Q3]], "")</f>
        <v>8.1281999999999996</v>
      </c>
      <c r="AM11" s="130" t="s">
        <v>1167</v>
      </c>
      <c r="AN11" s="130" t="s">
        <v>1664</v>
      </c>
      <c r="AO11" s="130" t="s">
        <v>1470</v>
      </c>
      <c r="AP11" s="126">
        <f>IFERROR(VLOOKUP(Table5[[#This Row],[HCPCS code 2020Q1]], ASP2020Q1[], 4, FALSE), "")</f>
        <v>80.643000000000001</v>
      </c>
      <c r="AQ11" s="77">
        <f>IFERROR(Table5[[#This Row],[Payment Limit 2020Q1]]/Table5[[#This Row],[HCPCS code dosage 2020Q1]], "")</f>
        <v>8.0642999999999994</v>
      </c>
      <c r="AR11" s="133" t="s">
        <v>1167</v>
      </c>
      <c r="AS11" s="130" t="s">
        <v>1664</v>
      </c>
      <c r="AT11" s="130" t="s">
        <v>1470</v>
      </c>
      <c r="AU11" s="132">
        <f>IFERROR(VLOOKUP(Table5[[#This Row],[HCPCS code 2020Q3]], ASP2020Q3[], 4, FALSE), "")</f>
        <v>78.399000000000001</v>
      </c>
      <c r="AV11" s="72">
        <f>IFERROR(Table5[[#This Row],[Payment limit 2020Q3]]/Table5[[#This Row],[HCPCS code dosage 2020Q3]],"")</f>
        <v>7.8399000000000001</v>
      </c>
      <c r="AW11" s="144" t="s">
        <v>1167</v>
      </c>
      <c r="AX11" s="118" t="s">
        <v>1664</v>
      </c>
      <c r="AY11" s="144" t="s">
        <v>1470</v>
      </c>
      <c r="AZ11" s="144">
        <f>IFERROR(VLOOKUP(Table5[[#This Row],[HCPCS code 2021Q1]], ASP2021Q1[], 4, FALSE), "")</f>
        <v>75.156999999999996</v>
      </c>
      <c r="BA11" s="122">
        <f>IFERROR(Table5[[#This Row],[Payment limit 2021Q1]]/Table5[[#This Row],[HCPCS code dosage 2021Q1]], "")</f>
        <v>7.5156999999999998</v>
      </c>
      <c r="BB11" s="147" t="s">
        <v>1167</v>
      </c>
      <c r="BC11" s="118" t="s">
        <v>1664</v>
      </c>
      <c r="BD11" s="144" t="s">
        <v>1470</v>
      </c>
      <c r="BE11" s="144">
        <f>IFERROR(VLOOKUP(Table5[[#This Row],[HCPCS code 2021Q3]], ASP2021Q3[], 4, FALSE), "")</f>
        <v>70.594999999999999</v>
      </c>
      <c r="BF11" s="122">
        <f>IFERROR(Table5[[#This Row],[Payment limit 2021Q3]]/Table5[[#This Row],[HCPCS code dosage 2021Q3]], "")</f>
        <v>7.0594999999999999</v>
      </c>
      <c r="BG11" s="147" t="s">
        <v>1167</v>
      </c>
      <c r="BH11" s="118" t="s">
        <v>1664</v>
      </c>
      <c r="BI11" s="144" t="s">
        <v>1470</v>
      </c>
      <c r="BJ11" s="144">
        <f>IFERROR(VLOOKUP(Table5[[#This Row],[HCPCS code 2022Q1]], ASP2022Q1[], 4, FALSE), "")</f>
        <v>67.861000000000004</v>
      </c>
      <c r="BK11" s="122">
        <f>IFERROR(Table5[[#This Row],[Payment limit 2022Q1]]/Table5[[#This Row],[HCPCS code dosage 2022Q1]], "")</f>
        <v>6.7861000000000002</v>
      </c>
      <c r="BL11" s="144" t="s">
        <v>1167</v>
      </c>
      <c r="BM11" s="184">
        <v>10</v>
      </c>
      <c r="BN11" s="144" t="s">
        <v>1470</v>
      </c>
      <c r="BO11" s="144">
        <f>IFERROR(VLOOKUP(Table5[[#This Row],[HCPCS Code 2022Q3]], ASP2022Q3[], 4, FALSE), "")</f>
        <v>69.224999999999994</v>
      </c>
      <c r="BP11" s="122">
        <f>IFERROR(Table5[[#This Row],[Payment limit 2022Q3]]/Table5[[#This Row],[HCPCS code dosage 2022Q3]], "")</f>
        <v>6.9224999999999994</v>
      </c>
      <c r="BQ11" s="144" t="s">
        <v>1167</v>
      </c>
      <c r="BR11" s="118">
        <v>10</v>
      </c>
      <c r="BS11" s="144" t="s">
        <v>1470</v>
      </c>
      <c r="BT11" s="144">
        <v>70.751999999999995</v>
      </c>
      <c r="BU11" s="144">
        <f>IFERROR(Table5[[#This Row],[Payment limit 2023Q1]]/Table5[[#This Row],[HCPCS code dosage 2023Q1]], "")</f>
        <v>7.0751999999999997</v>
      </c>
      <c r="BV11" s="79" t="s">
        <v>1834</v>
      </c>
    </row>
    <row r="12" spans="1:74" x14ac:dyDescent="0.3">
      <c r="A12" s="62" t="s">
        <v>85</v>
      </c>
      <c r="B12" s="286"/>
      <c r="C12" s="286"/>
      <c r="D12" s="307"/>
      <c r="E12" s="292" t="str">
        <f>IFERROR(VLOOKUP(Table5[[#This Row],[HCPCS code 2016 Q1]], ASP2016Q1[], 4, FALSE), "")</f>
        <v/>
      </c>
      <c r="F12" s="303" t="str">
        <f>IFERROR(Table5[[#This Row],[Payment Limit 2016Q1]]/Table5[[#This Row],[HCPCS code dosage 2016Q1]], "")</f>
        <v/>
      </c>
      <c r="G12" s="286"/>
      <c r="H12" s="286"/>
      <c r="I12" s="307"/>
      <c r="J12" s="292" t="str">
        <f>IFERROR(VLOOKUP(Table5[[#This Row],[HCPCS code 2016 Q3]], ASP2016Q3[], 4, FALSE), "")</f>
        <v/>
      </c>
      <c r="K12" s="303" t="str">
        <f>IFERROR(Table5[[#This Row],[Payment Limit 2016Q3]]/Table5[[#This Row],[HCPCS code dosage 2016Q3]], "")</f>
        <v/>
      </c>
      <c r="L12" s="286"/>
      <c r="M12" s="286"/>
      <c r="N12" s="307"/>
      <c r="O12" s="291" t="str">
        <f>IFERROR(VLOOKUP(Table5[[#This Row],[HCPCS code 2017 Q1]], ASP2017Q1[], 4, FALSE), "")</f>
        <v/>
      </c>
      <c r="P12" s="302" t="str">
        <f>IFERROR(Table5[[#This Row],[Payment Limit 2017Q1]]/Table5[[#This Row],[HCPCS code dosage 2017Q1]], "")</f>
        <v/>
      </c>
      <c r="Q12" s="275" t="s">
        <v>1153</v>
      </c>
      <c r="R12" s="275" t="s">
        <v>2434</v>
      </c>
      <c r="S12" s="275"/>
      <c r="T12" s="279" t="str">
        <f>IFERROR(VLOOKUP(Table5[[#This Row],[HCPCS code 2017 Q3]], ASP2017Q3[], 4, FALSE), "")</f>
        <v/>
      </c>
      <c r="U12" s="279" t="str">
        <f>IFERROR(Table5[[#This Row],[Payment Limit 2017Q3]]/Table5[[#This Row],[HCPCS code dosage 2017Q3]], "")</f>
        <v/>
      </c>
      <c r="V12" s="374" t="s">
        <v>1153</v>
      </c>
      <c r="W12" s="377" t="s">
        <v>1664</v>
      </c>
      <c r="X12" s="142" t="s">
        <v>1470</v>
      </c>
      <c r="Y12" s="279">
        <v>79.373000000000005</v>
      </c>
      <c r="Z12" s="370">
        <f>IFERROR(Table5[[#This Row],[Payment Limit 2018 Q1]]/Table5[[#This Row],[HCPCS code dosage 2018 Q1]],"")</f>
        <v>7.9373000000000005</v>
      </c>
      <c r="AA12" s="374" t="s">
        <v>1153</v>
      </c>
      <c r="AB12" s="381" t="s">
        <v>1664</v>
      </c>
      <c r="AC12" s="142">
        <v>0</v>
      </c>
      <c r="AD12" s="378">
        <v>80.59</v>
      </c>
      <c r="AE12" s="370">
        <f>IFERROR(Table5[[#This Row],[Payment Limit 2018 Q3]]/Table5[[#This Row],[HCPCS code dosage 2018 Q3]],"")</f>
        <v>8.0590000000000011</v>
      </c>
      <c r="AF12" s="275" t="s">
        <v>1153</v>
      </c>
      <c r="AG12" s="122">
        <v>8.1808000000000014</v>
      </c>
      <c r="AH12" s="117" t="s">
        <v>1153</v>
      </c>
      <c r="AI12" s="118" t="s">
        <v>1664</v>
      </c>
      <c r="AJ12" s="118" t="s">
        <v>1470</v>
      </c>
      <c r="AK12" s="115">
        <f>IFERROR(VLOOKUP(Table5[[#This Row],[HCPCS code 2019Q3]], ASP2019Q3[], 4, FALSE), "")</f>
        <v>82.742999999999995</v>
      </c>
      <c r="AL12" s="72">
        <f>IFERROR(Table5[[#This Row],[Payment Limit 2019Q3]]/Table5[[#This Row],[HCPCS code dosage 2019Q3]], "")</f>
        <v>8.2743000000000002</v>
      </c>
      <c r="AM12" s="130" t="s">
        <v>1153</v>
      </c>
      <c r="AN12" s="130" t="s">
        <v>1664</v>
      </c>
      <c r="AO12" s="130" t="s">
        <v>1470</v>
      </c>
      <c r="AP12" s="126">
        <f>IFERROR(VLOOKUP(Table5[[#This Row],[HCPCS code 2020Q1]], ASP2020Q1[], 4, FALSE), "")</f>
        <v>84.116</v>
      </c>
      <c r="AQ12" s="77">
        <f>IFERROR(Table5[[#This Row],[Payment Limit 2020Q1]]/Table5[[#This Row],[HCPCS code dosage 2020Q1]], "")</f>
        <v>8.4116</v>
      </c>
      <c r="AR12" s="133" t="s">
        <v>1153</v>
      </c>
      <c r="AS12" s="130" t="s">
        <v>1664</v>
      </c>
      <c r="AT12" s="130" t="s">
        <v>1470</v>
      </c>
      <c r="AU12" s="132">
        <f>IFERROR(VLOOKUP(Table5[[#This Row],[HCPCS code 2020Q3]], ASP2020Q3[], 4, FALSE), "")</f>
        <v>85.091999999999999</v>
      </c>
      <c r="AV12" s="72">
        <f>IFERROR(Table5[[#This Row],[Payment limit 2020Q3]]/Table5[[#This Row],[HCPCS code dosage 2020Q3]],"")</f>
        <v>8.5091999999999999</v>
      </c>
      <c r="AW12" s="144" t="s">
        <v>1153</v>
      </c>
      <c r="AX12" s="118" t="s">
        <v>1664</v>
      </c>
      <c r="AY12" s="144" t="s">
        <v>1470</v>
      </c>
      <c r="AZ12" s="144">
        <f>IFERROR(VLOOKUP(Table5[[#This Row],[HCPCS code 2021Q1]], ASP2021Q1[], 4, FALSE), "")</f>
        <v>85.331000000000003</v>
      </c>
      <c r="BA12" s="122">
        <f>IFERROR(Table5[[#This Row],[Payment limit 2021Q1]]/Table5[[#This Row],[HCPCS code dosage 2021Q1]], "")</f>
        <v>8.533100000000001</v>
      </c>
      <c r="BB12" s="147" t="s">
        <v>1153</v>
      </c>
      <c r="BC12" s="118" t="s">
        <v>1664</v>
      </c>
      <c r="BD12" s="144" t="s">
        <v>1470</v>
      </c>
      <c r="BE12" s="144">
        <f>IFERROR(VLOOKUP(Table5[[#This Row],[HCPCS code 2021Q3]], ASP2021Q3[], 4, FALSE), "")</f>
        <v>85.997</v>
      </c>
      <c r="BF12" s="122">
        <f>IFERROR(Table5[[#This Row],[Payment limit 2021Q3]]/Table5[[#This Row],[HCPCS code dosage 2021Q3]], "")</f>
        <v>8.5997000000000003</v>
      </c>
      <c r="BG12" s="147" t="s">
        <v>1153</v>
      </c>
      <c r="BH12" s="118" t="s">
        <v>1664</v>
      </c>
      <c r="BI12" s="144" t="s">
        <v>1470</v>
      </c>
      <c r="BJ12" s="144">
        <f>IFERROR(VLOOKUP(Table5[[#This Row],[HCPCS code 2022Q1]], ASP2022Q1[], 4, FALSE), "")</f>
        <v>87.608000000000004</v>
      </c>
      <c r="BK12" s="122">
        <f>IFERROR(Table5[[#This Row],[Payment limit 2022Q1]]/Table5[[#This Row],[HCPCS code dosage 2022Q1]], "")</f>
        <v>8.7607999999999997</v>
      </c>
      <c r="BL12" s="144" t="s">
        <v>1153</v>
      </c>
      <c r="BM12" s="184">
        <v>10</v>
      </c>
      <c r="BN12" s="144" t="s">
        <v>1470</v>
      </c>
      <c r="BO12" s="144">
        <f>IFERROR(VLOOKUP(Table5[[#This Row],[HCPCS Code 2022Q3]], ASP2022Q3[], 4, FALSE), "")</f>
        <v>88.376000000000005</v>
      </c>
      <c r="BP12" s="122">
        <f>IFERROR(Table5[[#This Row],[Payment limit 2022Q3]]/Table5[[#This Row],[HCPCS code dosage 2022Q3]], "")</f>
        <v>8.8376000000000001</v>
      </c>
      <c r="BQ12" s="144" t="s">
        <v>1153</v>
      </c>
      <c r="BR12" s="118">
        <v>10</v>
      </c>
      <c r="BS12" s="144" t="s">
        <v>1470</v>
      </c>
      <c r="BT12" s="144">
        <v>89.334999999999994</v>
      </c>
      <c r="BU12" s="144">
        <f>IFERROR(Table5[[#This Row],[Payment limit 2023Q1]]/Table5[[#This Row],[HCPCS code dosage 2023Q1]], "")</f>
        <v>8.9334999999999987</v>
      </c>
      <c r="BV12" s="79"/>
    </row>
    <row r="13" spans="1:74" x14ac:dyDescent="0.3">
      <c r="A13" s="69" t="s">
        <v>2764</v>
      </c>
      <c r="B13" s="273"/>
      <c r="C13" s="273"/>
      <c r="D13" s="275"/>
      <c r="E13" s="280" t="str">
        <f>IFERROR(VLOOKUP(Table5[[#This Row],[HCPCS code 2016 Q1]], ASP2016Q1[], 4, FALSE), "")</f>
        <v/>
      </c>
      <c r="F13" s="305" t="str">
        <f>IFERROR(Table5[[#This Row],[Payment Limit 2016Q1]]/Table5[[#This Row],[HCPCS code dosage 2016Q1]], "")</f>
        <v/>
      </c>
      <c r="G13" s="273"/>
      <c r="H13" s="273"/>
      <c r="I13" s="275"/>
      <c r="J13" s="280" t="str">
        <f>IFERROR(VLOOKUP(Table5[[#This Row],[HCPCS code 2016 Q3]], ASP2016Q3[], 4, FALSE), "")</f>
        <v/>
      </c>
      <c r="K13" s="305" t="str">
        <f>IFERROR(Table5[[#This Row],[Payment Limit 2016Q3]]/Table5[[#This Row],[HCPCS code dosage 2016Q3]], "")</f>
        <v/>
      </c>
      <c r="L13" s="273"/>
      <c r="M13" s="273"/>
      <c r="N13" s="275"/>
      <c r="O13" s="280" t="str">
        <f>IFERROR(VLOOKUP(Table5[[#This Row],[HCPCS code 2017 Q1]], ASP2017Q1[], 4, FALSE), "")</f>
        <v/>
      </c>
      <c r="P13" s="305" t="str">
        <f>IFERROR(Table5[[#This Row],[Payment Limit 2017Q1]]/Table5[[#This Row],[HCPCS code dosage 2017Q1]], "")</f>
        <v/>
      </c>
      <c r="Q13" s="416"/>
      <c r="R13" s="416"/>
      <c r="S13" s="416"/>
      <c r="T13" s="280" t="str">
        <f>IFERROR(VLOOKUP(Table5[[#This Row],[HCPCS code 2017 Q3]], ASP2017Q3[], 4, FALSE), "")</f>
        <v/>
      </c>
      <c r="U13" s="280" t="str">
        <f>IFERROR(Table5[[#This Row],[Payment Limit 2017Q3]]/Table5[[#This Row],[HCPCS code dosage 2017Q3]], "")</f>
        <v/>
      </c>
      <c r="V13" s="374"/>
      <c r="W13" s="510"/>
      <c r="X13" s="416"/>
      <c r="Y13" s="280"/>
      <c r="Z13" s="305" t="str">
        <f>IFERROR(Table5[[#This Row],[Payment Limit 2018 Q1]]/Table5[[#This Row],[HCPCS code dosage 2018 Q1]],"")</f>
        <v/>
      </c>
      <c r="AA13" s="374"/>
      <c r="AB13" s="381"/>
      <c r="AC13" s="142"/>
      <c r="AD13" s="378"/>
      <c r="AE13" s="305" t="str">
        <f>IFERROR(Table5[[#This Row],[Payment Limit 2018 Q3]]/Table5[[#This Row],[HCPCS code dosage 2018 Q3]],"")</f>
        <v/>
      </c>
      <c r="AF13" s="416"/>
      <c r="AG13" s="122"/>
      <c r="AH13" s="117"/>
      <c r="AI13" s="118"/>
      <c r="AJ13" s="118"/>
      <c r="AK13" s="132" t="str">
        <f>IFERROR(VLOOKUP(Table5[[#This Row],[HCPCS code 2019Q3]], ASP2019Q3[], 4, FALSE), "")</f>
        <v/>
      </c>
      <c r="AL13" s="72" t="str">
        <f>IFERROR(Table5[[#This Row],[Payment Limit 2019Q3]]/Table5[[#This Row],[HCPCS code dosage 2019Q3]], "")</f>
        <v/>
      </c>
      <c r="AM13" s="130"/>
      <c r="AN13" s="130"/>
      <c r="AO13" s="130"/>
      <c r="AP13" s="126" t="str">
        <f>IFERROR(VLOOKUP(Table5[[#This Row],[HCPCS code 2020Q1]], ASP2020Q1[], 4, FALSE), "")</f>
        <v/>
      </c>
      <c r="AQ13" s="77" t="str">
        <f>IFERROR(Table5[[#This Row],[Payment Limit 2020Q1]]/Table5[[#This Row],[HCPCS code dosage 2020Q1]], "")</f>
        <v/>
      </c>
      <c r="AR13" s="133"/>
      <c r="AS13" s="130"/>
      <c r="AT13" s="130"/>
      <c r="AU13" s="132" t="str">
        <f>IFERROR(VLOOKUP(Table5[[#This Row],[HCPCS code 2020Q3]], ASP2020Q3[], 4, FALSE), "")</f>
        <v/>
      </c>
      <c r="AV13" s="72" t="str">
        <f>IFERROR(Table5[[#This Row],[Payment limit 2020Q3]]/Table5[[#This Row],[HCPCS code dosage 2020Q3]],"")</f>
        <v/>
      </c>
      <c r="AW13" s="144" t="s">
        <v>1155</v>
      </c>
      <c r="AX13" s="118">
        <v>1</v>
      </c>
      <c r="AY13" s="144" t="s">
        <v>1470</v>
      </c>
      <c r="AZ13" s="144">
        <f>IFERROR(VLOOKUP(Table5[[#This Row],[HCPCS code 2021Q1]], ASP2021Q1[], 4, FALSE), "")</f>
        <v>0.91400000000000003</v>
      </c>
      <c r="BA13" s="122">
        <f>IFERROR(Table5[[#This Row],[Payment limit 2021Q1]]/Table5[[#This Row],[HCPCS code dosage 2021Q1]], "")</f>
        <v>0.91400000000000003</v>
      </c>
      <c r="BB13" s="147" t="s">
        <v>1155</v>
      </c>
      <c r="BC13" s="118">
        <v>1</v>
      </c>
      <c r="BD13" s="144" t="s">
        <v>1470</v>
      </c>
      <c r="BE13" s="144">
        <f>IFERROR(VLOOKUP(Table5[[#This Row],[HCPCS code 2021Q3]], ASP2021Q3[], 4, FALSE), "")</f>
        <v>1.2110000000000001</v>
      </c>
      <c r="BF13" s="122">
        <f>IFERROR(Table5[[#This Row],[Payment limit 2021Q3]]/Table5[[#This Row],[HCPCS code dosage 2021Q3]], "")</f>
        <v>1.2110000000000001</v>
      </c>
      <c r="BG13" s="147"/>
      <c r="BH13" s="118"/>
      <c r="BI13" s="144"/>
      <c r="BJ13" s="144" t="str">
        <f>IFERROR(VLOOKUP(Table5[[#This Row],[HCPCS code 2022Q1]], ASP2022Q1[], 4, FALSE), "")</f>
        <v/>
      </c>
      <c r="BK13" s="122" t="str">
        <f>IFERROR(Table5[[#This Row],[Payment limit 2022Q1]]/Table5[[#This Row],[HCPCS code dosage 2022Q1]], "")</f>
        <v/>
      </c>
      <c r="BL13" s="144"/>
      <c r="BM13" s="184"/>
      <c r="BN13" s="144"/>
      <c r="BO13" s="144" t="str">
        <f>IFERROR(VLOOKUP(Table5[[#This Row],[HCPCS Code 2022Q3]], ASP2022Q3[], 4, FALSE), "")</f>
        <v/>
      </c>
      <c r="BP13" s="122" t="str">
        <f>IFERROR(Table5[[#This Row],[Payment limit 2022Q3]]/Table5[[#This Row],[HCPCS code dosage 2022Q3]], "")</f>
        <v/>
      </c>
      <c r="BQ13" s="144"/>
      <c r="BR13" s="521"/>
      <c r="BS13" s="144"/>
      <c r="BT13" s="144"/>
      <c r="BU13" s="144" t="str">
        <f>IFERROR(Table5[[#This Row],[Payment limit 2023Q1]]/Table5[[#This Row],[HCPCS code dosage 2023Q1]], "")</f>
        <v/>
      </c>
      <c r="BV13" s="79"/>
    </row>
    <row r="14" spans="1:74" x14ac:dyDescent="0.3">
      <c r="A14" s="69" t="s">
        <v>2766</v>
      </c>
      <c r="B14" s="273"/>
      <c r="C14" s="273"/>
      <c r="D14" s="275"/>
      <c r="E14" s="280" t="str">
        <f>IFERROR(VLOOKUP(Table5[[#This Row],[HCPCS code 2016 Q1]], ASP2016Q1[], 4, FALSE), "")</f>
        <v/>
      </c>
      <c r="F14" s="305" t="str">
        <f>IFERROR(Table5[[#This Row],[Payment Limit 2016Q1]]/Table5[[#This Row],[HCPCS code dosage 2016Q1]], "")</f>
        <v/>
      </c>
      <c r="G14" s="273"/>
      <c r="H14" s="273"/>
      <c r="I14" s="275"/>
      <c r="J14" s="280" t="str">
        <f>IFERROR(VLOOKUP(Table5[[#This Row],[HCPCS code 2016 Q3]], ASP2016Q3[], 4, FALSE), "")</f>
        <v/>
      </c>
      <c r="K14" s="305" t="str">
        <f>IFERROR(Table5[[#This Row],[Payment Limit 2016Q3]]/Table5[[#This Row],[HCPCS code dosage 2016Q3]], "")</f>
        <v/>
      </c>
      <c r="L14" s="273"/>
      <c r="M14" s="273"/>
      <c r="N14" s="275"/>
      <c r="O14" s="280" t="str">
        <f>IFERROR(VLOOKUP(Table5[[#This Row],[HCPCS code 2017 Q1]], ASP2017Q1[], 4, FALSE), "")</f>
        <v/>
      </c>
      <c r="P14" s="305" t="str">
        <f>IFERROR(Table5[[#This Row],[Payment Limit 2017Q1]]/Table5[[#This Row],[HCPCS code dosage 2017Q1]], "")</f>
        <v/>
      </c>
      <c r="Q14" s="416"/>
      <c r="R14" s="416"/>
      <c r="S14" s="416"/>
      <c r="T14" s="280" t="str">
        <f>IFERROR(VLOOKUP(Table5[[#This Row],[HCPCS code 2017 Q3]], ASP2017Q3[], 4, FALSE), "")</f>
        <v/>
      </c>
      <c r="U14" s="280" t="str">
        <f>IFERROR(Table5[[#This Row],[Payment Limit 2017Q3]]/Table5[[#This Row],[HCPCS code dosage 2017Q3]], "")</f>
        <v/>
      </c>
      <c r="V14" s="374"/>
      <c r="W14" s="510"/>
      <c r="X14" s="416"/>
      <c r="Y14" s="280"/>
      <c r="Z14" s="305" t="str">
        <f>IFERROR(Table5[[#This Row],[Payment Limit 2018 Q1]]/Table5[[#This Row],[HCPCS code dosage 2018 Q1]],"")</f>
        <v/>
      </c>
      <c r="AA14" s="374"/>
      <c r="AB14" s="381"/>
      <c r="AC14" s="142"/>
      <c r="AD14" s="378"/>
      <c r="AE14" s="305" t="str">
        <f>IFERROR(Table5[[#This Row],[Payment Limit 2018 Q3]]/Table5[[#This Row],[HCPCS code dosage 2018 Q3]],"")</f>
        <v/>
      </c>
      <c r="AF14" s="416"/>
      <c r="AG14" s="122"/>
      <c r="AH14" s="117"/>
      <c r="AI14" s="118"/>
      <c r="AJ14" s="118"/>
      <c r="AK14" s="132" t="str">
        <f>IFERROR(VLOOKUP(Table5[[#This Row],[HCPCS code 2019Q3]], ASP2019Q3[], 4, FALSE), "")</f>
        <v/>
      </c>
      <c r="AL14" s="72" t="str">
        <f>IFERROR(Table5[[#This Row],[Payment Limit 2019Q3]]/Table5[[#This Row],[HCPCS code dosage 2019Q3]], "")</f>
        <v/>
      </c>
      <c r="AM14" s="130"/>
      <c r="AN14" s="130"/>
      <c r="AO14" s="130"/>
      <c r="AP14" s="126" t="str">
        <f>IFERROR(VLOOKUP(Table5[[#This Row],[HCPCS code 2020Q1]], ASP2020Q1[], 4, FALSE), "")</f>
        <v/>
      </c>
      <c r="AQ14" s="77" t="str">
        <f>IFERROR(Table5[[#This Row],[Payment Limit 2020Q1]]/Table5[[#This Row],[HCPCS code dosage 2020Q1]], "")</f>
        <v/>
      </c>
      <c r="AR14" s="133"/>
      <c r="AS14" s="130"/>
      <c r="AT14" s="130"/>
      <c r="AU14" s="132" t="str">
        <f>IFERROR(VLOOKUP(Table5[[#This Row],[HCPCS code 2020Q3]], ASP2020Q3[], 4, FALSE), "")</f>
        <v/>
      </c>
      <c r="AV14" s="72" t="str">
        <f>IFERROR(Table5[[#This Row],[Payment limit 2020Q3]]/Table5[[#This Row],[HCPCS code dosage 2020Q3]],"")</f>
        <v/>
      </c>
      <c r="AW14" s="144" t="s">
        <v>1155</v>
      </c>
      <c r="AX14" s="118">
        <v>1</v>
      </c>
      <c r="AY14" s="144" t="s">
        <v>1470</v>
      </c>
      <c r="AZ14" s="144">
        <f>IFERROR(VLOOKUP(Table5[[#This Row],[HCPCS code 2021Q1]], ASP2021Q1[], 4, FALSE), "")</f>
        <v>0.91400000000000003</v>
      </c>
      <c r="BA14" s="122">
        <f>IFERROR(Table5[[#This Row],[Payment limit 2021Q1]]/Table5[[#This Row],[HCPCS code dosage 2021Q1]], "")</f>
        <v>0.91400000000000003</v>
      </c>
      <c r="BB14" s="147" t="s">
        <v>1155</v>
      </c>
      <c r="BC14" s="118">
        <v>1</v>
      </c>
      <c r="BD14" s="144" t="s">
        <v>1470</v>
      </c>
      <c r="BE14" s="144">
        <f>IFERROR(VLOOKUP(Table5[[#This Row],[HCPCS code 2021Q3]], ASP2021Q3[], 4, FALSE), "")</f>
        <v>1.2110000000000001</v>
      </c>
      <c r="BF14" s="122">
        <f>IFERROR(Table5[[#This Row],[Payment limit 2021Q3]]/Table5[[#This Row],[HCPCS code dosage 2021Q3]], "")</f>
        <v>1.2110000000000001</v>
      </c>
      <c r="BG14" s="147" t="s">
        <v>1155</v>
      </c>
      <c r="BH14" s="118">
        <v>1</v>
      </c>
      <c r="BI14" s="144" t="s">
        <v>1470</v>
      </c>
      <c r="BJ14" s="144">
        <f>IFERROR(VLOOKUP(Table5[[#This Row],[HCPCS code 2022Q1]], ASP2022Q1[], 4, FALSE), "")</f>
        <v>0.89300000000000002</v>
      </c>
      <c r="BK14" s="122">
        <f>IFERROR(Table5[[#This Row],[Payment limit 2022Q1]]/Table5[[#This Row],[HCPCS code dosage 2022Q1]], "")</f>
        <v>0.89300000000000002</v>
      </c>
      <c r="BL14" s="144"/>
      <c r="BM14" s="184"/>
      <c r="BN14" s="144"/>
      <c r="BO14" s="144" t="str">
        <f>IFERROR(VLOOKUP(Table5[[#This Row],[HCPCS Code 2022Q3]], ASP2022Q3[], 4, FALSE), "")</f>
        <v/>
      </c>
      <c r="BP14" s="122" t="str">
        <f>IFERROR(Table5[[#This Row],[Payment limit 2022Q3]]/Table5[[#This Row],[HCPCS code dosage 2022Q3]], "")</f>
        <v/>
      </c>
      <c r="BQ14" s="144"/>
      <c r="BR14" s="521"/>
      <c r="BS14" s="144"/>
      <c r="BT14" s="144"/>
      <c r="BU14" s="144" t="str">
        <f>IFERROR(Table5[[#This Row],[Payment limit 2023Q1]]/Table5[[#This Row],[HCPCS code dosage 2023Q1]], "")</f>
        <v/>
      </c>
      <c r="BV14" s="79"/>
    </row>
    <row r="15" spans="1:74" x14ac:dyDescent="0.3">
      <c r="A15" s="62" t="s">
        <v>75</v>
      </c>
      <c r="B15" s="286">
        <v>90586</v>
      </c>
      <c r="C15" s="286">
        <v>100000000</v>
      </c>
      <c r="D15" s="307" t="s">
        <v>1662</v>
      </c>
      <c r="E15" s="292">
        <f>IFERROR(VLOOKUP(Table5[[#This Row],[HCPCS code 2016 Q1]], ASP2016Q1[], 4, FALSE), "")</f>
        <v>123.759</v>
      </c>
      <c r="F15" s="303">
        <f>IFERROR(Table5[[#This Row],[Payment Limit 2016Q1]]/Table5[[#This Row],[HCPCS code dosage 2016Q1]], "")</f>
        <v>1.23759E-6</v>
      </c>
      <c r="G15" s="286">
        <v>90586</v>
      </c>
      <c r="H15" s="286">
        <v>100000000</v>
      </c>
      <c r="I15" s="307" t="s">
        <v>1662</v>
      </c>
      <c r="J15" s="292">
        <f>IFERROR(VLOOKUP(Table5[[#This Row],[HCPCS code 2016 Q3]], ASP2016Q3[], 4, FALSE), "")</f>
        <v>123.39400000000001</v>
      </c>
      <c r="K15" s="303">
        <f>IFERROR(Table5[[#This Row],[Payment Limit 2016Q3]]/Table5[[#This Row],[HCPCS code dosage 2016Q3]], "")</f>
        <v>1.23394E-6</v>
      </c>
      <c r="L15" s="286">
        <v>90586</v>
      </c>
      <c r="M15" s="286">
        <v>100000000</v>
      </c>
      <c r="N15" s="307" t="s">
        <v>1662</v>
      </c>
      <c r="O15" s="291">
        <f>IFERROR(VLOOKUP(Table5[[#This Row],[HCPCS code 2017 Q1]], ASP2017Q1[], 4, FALSE), "")</f>
        <v>127.01</v>
      </c>
      <c r="P15" s="302">
        <f>IFERROR(Table5[[#This Row],[Payment Limit 2017Q1]]/Table5[[#This Row],[HCPCS code dosage 2017Q1]], "")</f>
        <v>1.2701000000000001E-6</v>
      </c>
      <c r="Q15" s="275">
        <v>90586</v>
      </c>
      <c r="R15" s="118">
        <v>100000000</v>
      </c>
      <c r="S15" s="275" t="s">
        <v>1662</v>
      </c>
      <c r="T15" s="279">
        <f>IFERROR(VLOOKUP(Table5[[#This Row],[HCPCS code 2017 Q3]], ASP2017Q3[], 4, FALSE), "")</f>
        <v>128.679</v>
      </c>
      <c r="U15" s="279">
        <f>IFERROR(Table5[[#This Row],[Payment Limit 2017Q3]]/Table5[[#This Row],[HCPCS code dosage 2017Q3]], "")</f>
        <v>1.28679E-6</v>
      </c>
      <c r="V15" s="374">
        <v>90586</v>
      </c>
      <c r="W15" s="377">
        <v>100000000</v>
      </c>
      <c r="X15" s="142" t="s">
        <v>1662</v>
      </c>
      <c r="Y15" s="279">
        <v>132.786</v>
      </c>
      <c r="Z15" s="370">
        <f>IFERROR(Table5[[#This Row],[Payment Limit 2018 Q1]]/Table5[[#This Row],[HCPCS code dosage 2018 Q1]],"")</f>
        <v>1.32786E-6</v>
      </c>
      <c r="AA15" s="374">
        <v>90586</v>
      </c>
      <c r="AB15" s="381">
        <v>100000000</v>
      </c>
      <c r="AC15" s="142" t="s">
        <v>1662</v>
      </c>
      <c r="AD15" s="378">
        <v>138.11199999999999</v>
      </c>
      <c r="AE15" s="370">
        <f>IFERROR(Table5[[#This Row],[Payment Limit 2018 Q3]]/Table5[[#This Row],[HCPCS code dosage 2018 Q3]],"")</f>
        <v>1.3811199999999999E-6</v>
      </c>
      <c r="AF15" s="275">
        <v>90585</v>
      </c>
      <c r="AG15" s="122">
        <v>1.4025700000000002E-6</v>
      </c>
      <c r="AH15" s="117">
        <v>90585</v>
      </c>
      <c r="AI15" s="118">
        <v>100000000</v>
      </c>
      <c r="AJ15" s="118" t="s">
        <v>1662</v>
      </c>
      <c r="AK15" s="115">
        <f>IFERROR(VLOOKUP(Table5[[#This Row],[HCPCS code 2019Q3]], ASP2019Q3[], 4, FALSE), "")</f>
        <v>141.03200000000001</v>
      </c>
      <c r="AL15" s="72">
        <f>IFERROR(Table5[[#This Row],[Payment Limit 2019Q3]]/Table5[[#This Row],[HCPCS code dosage 2019Q3]], "")</f>
        <v>1.4103200000000002E-6</v>
      </c>
      <c r="AM15" s="130">
        <v>90585</v>
      </c>
      <c r="AN15" s="130">
        <v>100000000</v>
      </c>
      <c r="AO15" s="130" t="s">
        <v>1662</v>
      </c>
      <c r="AP15" s="126">
        <f>IFERROR(VLOOKUP(Table5[[#This Row],[HCPCS code 2020Q1]], ASP2020Q1[], 4, FALSE), "")</f>
        <v>141.251</v>
      </c>
      <c r="AQ15" s="77">
        <f>IFERROR(Table5[[#This Row],[Payment Limit 2020Q1]]/Table5[[#This Row],[HCPCS code dosage 2020Q1]], "")</f>
        <v>1.4125100000000001E-6</v>
      </c>
      <c r="AR15" s="133">
        <v>90586</v>
      </c>
      <c r="AS15" s="130">
        <v>100000000</v>
      </c>
      <c r="AT15" s="130" t="s">
        <v>1662</v>
      </c>
      <c r="AU15" s="132">
        <f>IFERROR(VLOOKUP(Table5[[#This Row],[HCPCS code 2020Q3]], ASP2020Q3[], 4, FALSE), "")</f>
        <v>140.73400000000001</v>
      </c>
      <c r="AV15" s="72">
        <f>IFERROR(Table5[[#This Row],[Payment limit 2020Q3]]/Table5[[#This Row],[HCPCS code dosage 2020Q3]],"")</f>
        <v>1.4073400000000001E-6</v>
      </c>
      <c r="AW15" s="144">
        <v>90586</v>
      </c>
      <c r="AX15" s="118">
        <v>100000000</v>
      </c>
      <c r="AY15" s="144" t="s">
        <v>1662</v>
      </c>
      <c r="AZ15" s="144">
        <f>IFERROR(VLOOKUP(Table5[[#This Row],[HCPCS code 2021Q1]], ASP2021Q1[], 4, FALSE), "")</f>
        <v>142.50399999999999</v>
      </c>
      <c r="BA15" s="122">
        <f>IFERROR(Table5[[#This Row],[Payment limit 2021Q1]]/Table5[[#This Row],[HCPCS code dosage 2021Q1]], "")</f>
        <v>1.42504E-6</v>
      </c>
      <c r="BB15" s="147">
        <v>90586</v>
      </c>
      <c r="BC15" s="118">
        <v>100000000</v>
      </c>
      <c r="BD15" s="144" t="s">
        <v>1662</v>
      </c>
      <c r="BE15" s="144">
        <f>IFERROR(VLOOKUP(Table5[[#This Row],[HCPCS code 2021Q3]], ASP2021Q3[], 4, FALSE), "")</f>
        <v>142.511</v>
      </c>
      <c r="BF15" s="122">
        <f>IFERROR(Table5[[#This Row],[Payment limit 2021Q3]]/Table5[[#This Row],[HCPCS code dosage 2021Q3]], "")</f>
        <v>1.42511E-6</v>
      </c>
      <c r="BG15" s="147">
        <v>90586</v>
      </c>
      <c r="BH15" s="118">
        <v>100000000</v>
      </c>
      <c r="BI15" s="144" t="s">
        <v>1662</v>
      </c>
      <c r="BJ15" s="144">
        <f>IFERROR(VLOOKUP(Table5[[#This Row],[HCPCS code 2022Q1]], ASP2022Q1[], 4, FALSE), "")</f>
        <v>141.524</v>
      </c>
      <c r="BK15" s="122">
        <f>IFERROR(Table5[[#This Row],[Payment limit 2022Q1]]/Table5[[#This Row],[HCPCS code dosage 2022Q1]], "")</f>
        <v>1.4152400000000001E-6</v>
      </c>
      <c r="BL15" s="144">
        <v>90586</v>
      </c>
      <c r="BM15" s="184">
        <v>100000000</v>
      </c>
      <c r="BN15" s="144" t="s">
        <v>1662</v>
      </c>
      <c r="BO15" s="144">
        <f>IFERROR(VLOOKUP(Table5[[#This Row],[HCPCS Code 2022Q3]], ASP2022Q3[], 4, FALSE), "")</f>
        <v>141.65199999999999</v>
      </c>
      <c r="BP15" s="122">
        <f>IFERROR(Table5[[#This Row],[Payment limit 2022Q3]]/Table5[[#This Row],[HCPCS code dosage 2022Q3]], "")</f>
        <v>1.4165199999999998E-6</v>
      </c>
      <c r="BQ15" s="144">
        <v>90586</v>
      </c>
      <c r="BR15" s="118">
        <v>1</v>
      </c>
      <c r="BS15" s="144" t="s">
        <v>2367</v>
      </c>
      <c r="BT15" s="144">
        <v>143.20500000000001</v>
      </c>
      <c r="BU15" s="144">
        <f>IFERROR(Table5[[#This Row],[Payment limit 2023Q1]]/Table5[[#This Row],[HCPCS code dosage 2023Q1]], "")</f>
        <v>143.20500000000001</v>
      </c>
      <c r="BV15" s="79" t="s">
        <v>1690</v>
      </c>
    </row>
    <row r="16" spans="1:74" x14ac:dyDescent="0.3">
      <c r="A16" s="194" t="s">
        <v>2165</v>
      </c>
      <c r="B16" s="287"/>
      <c r="C16" s="287"/>
      <c r="D16" s="308"/>
      <c r="E16" s="293" t="str">
        <f>IFERROR(VLOOKUP(Table5[[#This Row],[HCPCS code 2016 Q1]], ASP2016Q1[], 4, FALSE), "")</f>
        <v/>
      </c>
      <c r="F16" s="304" t="str">
        <f>IFERROR(Table5[[#This Row],[Payment Limit 2016Q1]]/Table5[[#This Row],[HCPCS code dosage 2016Q1]], "")</f>
        <v/>
      </c>
      <c r="G16" s="287"/>
      <c r="H16" s="287"/>
      <c r="I16" s="308"/>
      <c r="J16" s="293" t="str">
        <f>IFERROR(VLOOKUP(Table5[[#This Row],[HCPCS code 2016 Q3]], ASP2016Q3[], 4, FALSE), "")</f>
        <v/>
      </c>
      <c r="K16" s="304" t="str">
        <f>IFERROR(Table5[[#This Row],[Payment Limit 2016Q3]]/Table5[[#This Row],[HCPCS code dosage 2016Q3]], "")</f>
        <v/>
      </c>
      <c r="L16" s="287"/>
      <c r="M16" s="287"/>
      <c r="N16" s="308"/>
      <c r="O16" s="291" t="str">
        <f>IFERROR(VLOOKUP(Table5[[#This Row],[HCPCS code 2017 Q1]], ASP2017Q1[], 4, FALSE), "")</f>
        <v/>
      </c>
      <c r="P16" s="302" t="str">
        <f>IFERROR(Table5[[#This Row],[Payment Limit 2017Q1]]/Table5[[#This Row],[HCPCS code dosage 2017Q1]], "")</f>
        <v/>
      </c>
      <c r="Q16" s="142" t="s">
        <v>1159</v>
      </c>
      <c r="R16" s="142" t="s">
        <v>2434</v>
      </c>
      <c r="S16" s="142"/>
      <c r="T16" s="279" t="str">
        <f>IFERROR(VLOOKUP(Table5[[#This Row],[HCPCS code 2017 Q3]], ASP2017Q3[], 4, FALSE), "")</f>
        <v/>
      </c>
      <c r="U16" s="279" t="str">
        <f>IFERROR(Table5[[#This Row],[Payment Limit 2017Q3]]/Table5[[#This Row],[HCPCS code dosage 2017Q3]], "")</f>
        <v/>
      </c>
      <c r="V16" s="374"/>
      <c r="W16" s="377"/>
      <c r="X16" s="142"/>
      <c r="Y16" s="279"/>
      <c r="Z16" s="370"/>
      <c r="AA16" s="374"/>
      <c r="AB16" s="381"/>
      <c r="AC16" s="142"/>
      <c r="AD16" s="378"/>
      <c r="AE16" s="370"/>
      <c r="AF16" s="142"/>
      <c r="AG16" s="122"/>
      <c r="AH16" s="117"/>
      <c r="AI16" s="118"/>
      <c r="AJ16" s="118"/>
      <c r="AK16" s="139" t="str">
        <f>IFERROR(VLOOKUP(Table5[[#This Row],[HCPCS code 2019Q3]], ASP2019Q3[], 4, FALSE), "")</f>
        <v/>
      </c>
      <c r="AL16" s="140" t="str">
        <f>IFERROR(Table5[[#This Row],[Payment Limit 2019Q3]]/Table5[[#This Row],[HCPCS code dosage 2019Q3]], "")</f>
        <v/>
      </c>
      <c r="AM16" s="130"/>
      <c r="AN16" s="130"/>
      <c r="AO16" s="130"/>
      <c r="AP16" s="126" t="str">
        <f>IFERROR(VLOOKUP(Table5[[#This Row],[HCPCS code 2020Q1]], ASP2020Q1[], 4, FALSE), "")</f>
        <v/>
      </c>
      <c r="AQ16" s="141" t="str">
        <f>IFERROR(Table5[[#This Row],[Payment Limit 2020Q1]]/Table5[[#This Row],[HCPCS code dosage 2020Q1]], "")</f>
        <v/>
      </c>
      <c r="AR16" s="133"/>
      <c r="AS16" s="130"/>
      <c r="AT16" s="130"/>
      <c r="AU16" s="132" t="str">
        <f>IFERROR(VLOOKUP(Table5[[#This Row],[HCPCS code 2020Q3]], ASP2020Q3[], 4, FALSE), "")</f>
        <v/>
      </c>
      <c r="AV16" s="140" t="str">
        <f>IFERROR(Table5[[#This Row],[Payment limit 2020Q3]]/Table5[[#This Row],[HCPCS code dosage 2020Q3]],"")</f>
        <v/>
      </c>
      <c r="AW16" s="144"/>
      <c r="AX16" s="118"/>
      <c r="AY16" s="144"/>
      <c r="AZ16" s="144" t="str">
        <f>IFERROR(VLOOKUP(Table5[[#This Row],[HCPCS code 2021Q1]], ASP2021Q1[], 4, FALSE), "")</f>
        <v/>
      </c>
      <c r="BA16" s="144" t="str">
        <f>IFERROR(Table5[[#This Row],[Payment limit 2021Q1]]/Table5[[#This Row],[HCPCS code dosage 2021Q1]], "")</f>
        <v/>
      </c>
      <c r="BB16" s="147" t="s">
        <v>1159</v>
      </c>
      <c r="BC16" s="118">
        <v>1</v>
      </c>
      <c r="BD16" s="144" t="s">
        <v>1470</v>
      </c>
      <c r="BE16" s="144">
        <f>IFERROR(VLOOKUP(Table5[[#This Row],[HCPCS code 2021Q3]], ASP2021Q3[], 4, FALSE), "")</f>
        <v>2.85</v>
      </c>
      <c r="BF16" s="144">
        <f>IFERROR(Table5[[#This Row],[Payment limit 2021Q3]]/Table5[[#This Row],[HCPCS code dosage 2021Q3]], "")</f>
        <v>2.85</v>
      </c>
      <c r="BG16" s="147" t="s">
        <v>1159</v>
      </c>
      <c r="BH16" s="118">
        <v>1</v>
      </c>
      <c r="BI16" s="144" t="s">
        <v>1470</v>
      </c>
      <c r="BJ16" s="144">
        <f>IFERROR(VLOOKUP(Table5[[#This Row],[HCPCS code 2022Q1]], ASP2022Q1[], 4, FALSE), "")</f>
        <v>2.83</v>
      </c>
      <c r="BK16" s="144">
        <f>IFERROR(Table5[[#This Row],[Payment limit 2022Q1]]/Table5[[#This Row],[HCPCS code dosage 2022Q1]], "")</f>
        <v>2.83</v>
      </c>
      <c r="BL16" s="144" t="s">
        <v>1159</v>
      </c>
      <c r="BM16" s="184">
        <v>1</v>
      </c>
      <c r="BN16" s="144" t="s">
        <v>1470</v>
      </c>
      <c r="BO16" s="146">
        <f>IFERROR(VLOOKUP(Table5[[#This Row],[HCPCS Code 2022Q3]], ASP2022Q3[], 4, FALSE), "")</f>
        <v>2.8330000000000002</v>
      </c>
      <c r="BP16" s="123">
        <f>IFERROR(Table5[[#This Row],[Payment limit 2022Q3]]/Table5[[#This Row],[HCPCS code dosage 2022Q3]], "")</f>
        <v>2.8330000000000002</v>
      </c>
      <c r="BQ16" s="146" t="s">
        <v>1159</v>
      </c>
      <c r="BR16" s="120">
        <v>1</v>
      </c>
      <c r="BS16" s="146" t="s">
        <v>1470</v>
      </c>
      <c r="BT16" s="146">
        <v>2.8639999999999999</v>
      </c>
      <c r="BU16" s="146">
        <f>IFERROR(Table5[[#This Row],[Payment limit 2023Q1]]/Table5[[#This Row],[HCPCS code dosage 2023Q1]], "")</f>
        <v>2.8639999999999999</v>
      </c>
      <c r="BV16" s="196"/>
    </row>
    <row r="17" spans="1:74" x14ac:dyDescent="0.3">
      <c r="A17" s="69" t="s">
        <v>2091</v>
      </c>
      <c r="B17" s="273"/>
      <c r="C17" s="273"/>
      <c r="D17" s="275"/>
      <c r="E17" s="280" t="str">
        <f>IFERROR(VLOOKUP(Table5[[#This Row],[HCPCS code 2016 Q1]], ASP2016Q1[], 4, FALSE), "")</f>
        <v/>
      </c>
      <c r="F17" s="305" t="str">
        <f>IFERROR(Table5[[#This Row],[Payment Limit 2016Q1]]/Table5[[#This Row],[HCPCS code dosage 2016Q1]], "")</f>
        <v/>
      </c>
      <c r="G17" s="273"/>
      <c r="H17" s="273"/>
      <c r="I17" s="275"/>
      <c r="J17" s="280" t="str">
        <f>IFERROR(VLOOKUP(Table5[[#This Row],[HCPCS code 2016 Q3]], ASP2016Q3[], 4, FALSE), "")</f>
        <v/>
      </c>
      <c r="K17" s="305" t="str">
        <f>IFERROR(Table5[[#This Row],[Payment Limit 2016Q3]]/Table5[[#This Row],[HCPCS code dosage 2016Q3]], "")</f>
        <v/>
      </c>
      <c r="L17" s="273"/>
      <c r="M17" s="273"/>
      <c r="N17" s="275"/>
      <c r="O17" s="291" t="str">
        <f>IFERROR(VLOOKUP(Table5[[#This Row],[HCPCS code 2017 Q1]], ASP2017Q1[], 4, FALSE), "")</f>
        <v/>
      </c>
      <c r="P17" s="302" t="str">
        <f>IFERROR(Table5[[#This Row],[Payment Limit 2017Q1]]/Table5[[#This Row],[HCPCS code dosage 2017Q1]], "")</f>
        <v/>
      </c>
      <c r="Q17" s="142" t="s">
        <v>1988</v>
      </c>
      <c r="R17" s="142" t="s">
        <v>2434</v>
      </c>
      <c r="S17" s="416"/>
      <c r="T17" s="280" t="str">
        <f>IFERROR(VLOOKUP(Table5[[#This Row],[HCPCS code 2017 Q3]], ASP2017Q3[], 4, FALSE), "")</f>
        <v/>
      </c>
      <c r="U17" s="280" t="str">
        <f>IFERROR(Table5[[#This Row],[Payment Limit 2017Q3]]/Table5[[#This Row],[HCPCS code dosage 2017Q3]], "")</f>
        <v/>
      </c>
      <c r="V17" s="374"/>
      <c r="W17" s="377"/>
      <c r="X17" s="142"/>
      <c r="Y17" s="280"/>
      <c r="Z17" s="305"/>
      <c r="AA17" s="374"/>
      <c r="AB17" s="381"/>
      <c r="AC17" s="142"/>
      <c r="AD17" s="378"/>
      <c r="AE17" s="305"/>
      <c r="AF17" s="416"/>
      <c r="AG17" s="122"/>
      <c r="AH17" s="117"/>
      <c r="AI17" s="118"/>
      <c r="AJ17" s="118"/>
      <c r="AK17" s="132" t="str">
        <f>IFERROR(VLOOKUP(Table5[[#This Row],[HCPCS code 2019Q3]], ASP2019Q3[], 4, FALSE), "")</f>
        <v/>
      </c>
      <c r="AL17" s="72" t="str">
        <f>IFERROR(Table5[[#This Row],[Payment Limit 2019Q3]]/Table5[[#This Row],[HCPCS code dosage 2019Q3]], "")</f>
        <v/>
      </c>
      <c r="AM17" s="130"/>
      <c r="AN17" s="130"/>
      <c r="AO17" s="130"/>
      <c r="AP17" s="126" t="str">
        <f>IFERROR(VLOOKUP(Table5[[#This Row],[HCPCS code 2020Q1]], ASP2020Q1[], 4, FALSE), "")</f>
        <v/>
      </c>
      <c r="AQ17" s="77" t="str">
        <f>IFERROR(Table5[[#This Row],[Payment Limit 2020Q1]]/Table5[[#This Row],[HCPCS code dosage 2020Q1]], "")</f>
        <v/>
      </c>
      <c r="AR17" s="133"/>
      <c r="AS17" s="130"/>
      <c r="AT17" s="130"/>
      <c r="AU17" s="132" t="str">
        <f>IFERROR(VLOOKUP(Table5[[#This Row],[HCPCS code 2020Q3]], ASP2020Q3[], 4, FALSE), "")</f>
        <v/>
      </c>
      <c r="AV17" s="72" t="str">
        <f>IFERROR(Table5[[#This Row],[Payment limit 2020Q3]]/Table5[[#This Row],[HCPCS code dosage 2020Q3]],"")</f>
        <v/>
      </c>
      <c r="AW17" s="144"/>
      <c r="AX17" s="118"/>
      <c r="AY17" s="144"/>
      <c r="AZ17" s="144" t="str">
        <f>IFERROR(VLOOKUP(Table5[[#This Row],[HCPCS code 2021Q1]], ASP2021Q1[], 4, FALSE), "")</f>
        <v/>
      </c>
      <c r="BA17" s="122" t="str">
        <f>IFERROR(Table5[[#This Row],[Payment limit 2021Q1]]/Table5[[#This Row],[HCPCS code dosage 2021Q1]], "")</f>
        <v/>
      </c>
      <c r="BB17" s="147" t="s">
        <v>1988</v>
      </c>
      <c r="BC17" s="118">
        <v>0.5</v>
      </c>
      <c r="BD17" s="144" t="s">
        <v>1470</v>
      </c>
      <c r="BE17" s="144">
        <f>IFERROR(VLOOKUP(Table5[[#This Row],[HCPCS code 2021Q3]], ASP2021Q3[], 4, FALSE), "")</f>
        <v>42.908999999999999</v>
      </c>
      <c r="BF17" s="122">
        <f>IFERROR(Table5[[#This Row],[Payment limit 2021Q3]]/Table5[[#This Row],[HCPCS code dosage 2021Q3]], "")</f>
        <v>85.817999999999998</v>
      </c>
      <c r="BG17" s="147" t="s">
        <v>1988</v>
      </c>
      <c r="BH17" s="118">
        <v>0.5</v>
      </c>
      <c r="BI17" s="144" t="s">
        <v>1470</v>
      </c>
      <c r="BJ17" s="144">
        <f>IFERROR(VLOOKUP(Table5[[#This Row],[HCPCS code 2022Q1]], ASP2022Q1[], 4, FALSE), "")</f>
        <v>43.287999999999997</v>
      </c>
      <c r="BK17" s="122">
        <f>IFERROR(Table5[[#This Row],[Payment limit 2022Q1]]/Table5[[#This Row],[HCPCS code dosage 2022Q1]], "")</f>
        <v>86.575999999999993</v>
      </c>
      <c r="BL17" s="144" t="s">
        <v>1988</v>
      </c>
      <c r="BM17" s="184"/>
      <c r="BN17" s="144"/>
      <c r="BO17" s="144">
        <f>IFERROR(VLOOKUP(Table5[[#This Row],[HCPCS Code 2022Q3]], ASP2022Q3[], 4, FALSE), "")</f>
        <v>44.134</v>
      </c>
      <c r="BP17" s="122" t="str">
        <f>IFERROR(Table5[[#This Row],[Payment limit 2022Q3]]/Table5[[#This Row],[HCPCS code dosage 2022Q3]], "")</f>
        <v/>
      </c>
      <c r="BQ17" s="144" t="s">
        <v>1988</v>
      </c>
      <c r="BR17" s="118">
        <v>0.5</v>
      </c>
      <c r="BS17" s="144" t="s">
        <v>1470</v>
      </c>
      <c r="BT17" s="144">
        <v>45.277999999999999</v>
      </c>
      <c r="BU17" s="144">
        <f>IFERROR(Table5[[#This Row],[Payment limit 2023Q1]]/Table5[[#This Row],[HCPCS code dosage 2023Q1]], "")</f>
        <v>90.555999999999997</v>
      </c>
      <c r="BV17" s="79"/>
    </row>
    <row r="18" spans="1:74" x14ac:dyDescent="0.3">
      <c r="A18" s="62" t="s">
        <v>87</v>
      </c>
      <c r="B18" s="286" t="s">
        <v>1163</v>
      </c>
      <c r="C18" s="286">
        <v>1</v>
      </c>
      <c r="D18" s="307" t="s">
        <v>1470</v>
      </c>
      <c r="E18" s="292">
        <f>IFERROR(VLOOKUP(Table5[[#This Row],[HCPCS code 2016 Q1]], ASP2016Q1[], 4, FALSE), "")</f>
        <v>24.585999999999999</v>
      </c>
      <c r="F18" s="303">
        <f>IFERROR(Table5[[#This Row],[Payment Limit 2016Q1]]/Table5[[#This Row],[HCPCS code dosage 2016Q1]], "")</f>
        <v>24.585999999999999</v>
      </c>
      <c r="G18" s="286" t="s">
        <v>1165</v>
      </c>
      <c r="H18" s="286">
        <v>1</v>
      </c>
      <c r="I18" s="307" t="s">
        <v>1470</v>
      </c>
      <c r="J18" s="292">
        <v>24.745000000000001</v>
      </c>
      <c r="K18" s="303">
        <f>IFERROR(Table5[[#This Row],[Payment Limit 2016Q3]]/Table5[[#This Row],[HCPCS code dosage 2016Q3]], "")</f>
        <v>24.745000000000001</v>
      </c>
      <c r="L18" s="286" t="s">
        <v>1165</v>
      </c>
      <c r="M18" s="286">
        <v>1</v>
      </c>
      <c r="N18" s="307" t="s">
        <v>1470</v>
      </c>
      <c r="O18" s="291">
        <f>IFERROR(VLOOKUP(Table5[[#This Row],[HCPCS code 2017 Q1]], ASP2017Q1[], 4, FALSE), "")</f>
        <v>23.687999999999999</v>
      </c>
      <c r="P18" s="302">
        <f>IFERROR(Table5[[#This Row],[Payment Limit 2017Q1]]/Table5[[#This Row],[HCPCS code dosage 2017Q1]], "")</f>
        <v>23.687999999999999</v>
      </c>
      <c r="Q18" s="275" t="s">
        <v>1165</v>
      </c>
      <c r="R18" s="275">
        <v>1</v>
      </c>
      <c r="S18" s="275" t="s">
        <v>1470</v>
      </c>
      <c r="T18" s="279">
        <f>IFERROR(VLOOKUP(Table5[[#This Row],[HCPCS code 2017 Q3]], ASP2017Q3[], 4, FALSE), "")</f>
        <v>23.545999999999999</v>
      </c>
      <c r="U18" s="279">
        <f>IFERROR(Table5[[#This Row],[Payment Limit 2017Q3]]/Table5[[#This Row],[HCPCS code dosage 2017Q3]], "")</f>
        <v>23.545999999999999</v>
      </c>
      <c r="V18" s="374" t="s">
        <v>1165</v>
      </c>
      <c r="W18" s="377">
        <v>1</v>
      </c>
      <c r="X18" s="142" t="s">
        <v>1470</v>
      </c>
      <c r="Y18" s="279">
        <v>23.66</v>
      </c>
      <c r="Z18" s="370">
        <f>IFERROR(Table5[[#This Row],[Payment Limit 2018 Q1]]/Table5[[#This Row],[HCPCS code dosage 2018 Q1]],"")</f>
        <v>23.66</v>
      </c>
      <c r="AA18" s="374" t="s">
        <v>1165</v>
      </c>
      <c r="AB18" s="381">
        <v>1</v>
      </c>
      <c r="AC18" s="142" t="s">
        <v>1470</v>
      </c>
      <c r="AD18" s="378">
        <v>23.445</v>
      </c>
      <c r="AE18" s="370">
        <f>IFERROR(Table5[[#This Row],[Payment Limit 2018 Q3]]/Table5[[#This Row],[HCPCS code dosage 2018 Q3]],"")</f>
        <v>23.445</v>
      </c>
      <c r="AF18" s="275" t="s">
        <v>1165</v>
      </c>
      <c r="AG18" s="122">
        <v>23.831</v>
      </c>
      <c r="AH18" s="117" t="s">
        <v>1165</v>
      </c>
      <c r="AI18" s="118" t="s">
        <v>1665</v>
      </c>
      <c r="AJ18" s="118" t="s">
        <v>1470</v>
      </c>
      <c r="AK18" s="115">
        <f>IFERROR(VLOOKUP(Table5[[#This Row],[HCPCS code 2019Q3]], ASP2019Q3[], 4, FALSE), "")</f>
        <v>23.800999999999998</v>
      </c>
      <c r="AL18" s="72">
        <f>IFERROR(Table5[[#This Row],[Payment Limit 2019Q3]]/Table5[[#This Row],[HCPCS code dosage 2019Q3]], "")</f>
        <v>23.800999999999998</v>
      </c>
      <c r="AM18" s="130" t="s">
        <v>1165</v>
      </c>
      <c r="AN18" s="130" t="s">
        <v>1665</v>
      </c>
      <c r="AO18" s="130" t="s">
        <v>1470</v>
      </c>
      <c r="AP18" s="126">
        <f>IFERROR(VLOOKUP(Table5[[#This Row],[HCPCS code 2020Q1]], ASP2020Q1[], 4, FALSE), "")</f>
        <v>21.725000000000001</v>
      </c>
      <c r="AQ18" s="77">
        <f>IFERROR(Table5[[#This Row],[Payment Limit 2020Q1]]/Table5[[#This Row],[HCPCS code dosage 2020Q1]], "")</f>
        <v>21.725000000000001</v>
      </c>
      <c r="AR18" s="133" t="s">
        <v>1165</v>
      </c>
      <c r="AS18" s="130" t="s">
        <v>1665</v>
      </c>
      <c r="AT18" s="130" t="s">
        <v>1470</v>
      </c>
      <c r="AU18" s="132">
        <f>IFERROR(VLOOKUP(Table5[[#This Row],[HCPCS code 2020Q3]], ASP2020Q3[], 4, FALSE), "")</f>
        <v>20.436</v>
      </c>
      <c r="AV18" s="72">
        <f>IFERROR(Table5[[#This Row],[Payment limit 2020Q3]]/Table5[[#This Row],[HCPCS code dosage 2020Q3]],"")</f>
        <v>20.436</v>
      </c>
      <c r="AW18" s="144" t="s">
        <v>1165</v>
      </c>
      <c r="AX18" s="118" t="s">
        <v>1665</v>
      </c>
      <c r="AY18" s="144" t="s">
        <v>1470</v>
      </c>
      <c r="AZ18" s="144">
        <f>IFERROR(VLOOKUP(Table5[[#This Row],[HCPCS code 2021Q1]], ASP2021Q1[], 4, FALSE), "")</f>
        <v>20.172999999999998</v>
      </c>
      <c r="BA18" s="122">
        <f>IFERROR(Table5[[#This Row],[Payment limit 2021Q1]]/Table5[[#This Row],[HCPCS code dosage 2021Q1]], "")</f>
        <v>20.172999999999998</v>
      </c>
      <c r="BB18" s="147" t="s">
        <v>1165</v>
      </c>
      <c r="BC18" s="118" t="s">
        <v>1665</v>
      </c>
      <c r="BD18" s="144" t="s">
        <v>1470</v>
      </c>
      <c r="BE18" s="144">
        <f>IFERROR(VLOOKUP(Table5[[#This Row],[HCPCS code 2021Q3]], ASP2021Q3[], 4, FALSE), "")</f>
        <v>19.645</v>
      </c>
      <c r="BF18" s="122">
        <f>IFERROR(Table5[[#This Row],[Payment limit 2021Q3]]/Table5[[#This Row],[HCPCS code dosage 2021Q3]], "")</f>
        <v>19.645</v>
      </c>
      <c r="BG18" s="147" t="s">
        <v>1165</v>
      </c>
      <c r="BH18" s="118" t="s">
        <v>1665</v>
      </c>
      <c r="BI18" s="144" t="s">
        <v>1470</v>
      </c>
      <c r="BJ18" s="144">
        <f>IFERROR(VLOOKUP(Table5[[#This Row],[HCPCS code 2022Q1]], ASP2022Q1[], 4, FALSE), "")</f>
        <v>19.076000000000001</v>
      </c>
      <c r="BK18" s="122">
        <f>IFERROR(Table5[[#This Row],[Payment limit 2022Q1]]/Table5[[#This Row],[HCPCS code dosage 2022Q1]], "")</f>
        <v>19.076000000000001</v>
      </c>
      <c r="BL18" s="144" t="s">
        <v>1165</v>
      </c>
      <c r="BM18" s="184">
        <v>1</v>
      </c>
      <c r="BN18" s="144" t="s">
        <v>1470</v>
      </c>
      <c r="BO18" s="144">
        <f>IFERROR(VLOOKUP(Table5[[#This Row],[HCPCS Code 2022Q3]], ASP2022Q3[], 4, FALSE), "")</f>
        <v>17.843</v>
      </c>
      <c r="BP18" s="122">
        <f>IFERROR(Table5[[#This Row],[Payment limit 2022Q3]]/Table5[[#This Row],[HCPCS code dosage 2022Q3]], "")</f>
        <v>17.843</v>
      </c>
      <c r="BQ18" s="144" t="s">
        <v>1165</v>
      </c>
      <c r="BR18" s="118">
        <v>1</v>
      </c>
      <c r="BS18" s="144" t="s">
        <v>1470</v>
      </c>
      <c r="BT18" s="144">
        <v>16.809000000000001</v>
      </c>
      <c r="BU18" s="144">
        <f>IFERROR(Table5[[#This Row],[Payment limit 2023Q1]]/Table5[[#This Row],[HCPCS code dosage 2023Q1]], "")</f>
        <v>16.809000000000001</v>
      </c>
      <c r="BV18" s="79"/>
    </row>
    <row r="19" spans="1:74" x14ac:dyDescent="0.3">
      <c r="A19" s="69" t="s">
        <v>48</v>
      </c>
      <c r="B19" s="273" t="s">
        <v>1167</v>
      </c>
      <c r="C19" s="273">
        <v>10</v>
      </c>
      <c r="D19" s="275" t="s">
        <v>1470</v>
      </c>
      <c r="E19" s="280">
        <f>IFERROR(VLOOKUP(Table5[[#This Row],[HCPCS code 2016 Q1]], ASP2016Q1[], 4, FALSE), "")</f>
        <v>70.841999999999999</v>
      </c>
      <c r="F19" s="305">
        <f>IFERROR(Table5[[#This Row],[Payment Limit 2016Q1]]/Table5[[#This Row],[HCPCS code dosage 2016Q1]], "")</f>
        <v>7.0842000000000001</v>
      </c>
      <c r="G19" s="273" t="s">
        <v>1167</v>
      </c>
      <c r="H19" s="273">
        <v>10</v>
      </c>
      <c r="I19" s="275" t="s">
        <v>1470</v>
      </c>
      <c r="J19" s="280">
        <f>IFERROR(VLOOKUP(Table5[[#This Row],[HCPCS code 2016 Q3]], ASP2016Q3[], 4, FALSE), "")</f>
        <v>72.203000000000003</v>
      </c>
      <c r="K19" s="305">
        <f>IFERROR(Table5[[#This Row],[Payment Limit 2016Q3]]/Table5[[#This Row],[HCPCS code dosage 2016Q3]], "")</f>
        <v>7.2202999999999999</v>
      </c>
      <c r="L19" s="273" t="s">
        <v>1167</v>
      </c>
      <c r="M19" s="273">
        <v>10</v>
      </c>
      <c r="N19" s="275" t="s">
        <v>1470</v>
      </c>
      <c r="O19" s="291">
        <f>IFERROR(VLOOKUP(Table5[[#This Row],[HCPCS code 2017 Q1]], ASP2017Q1[], 4, FALSE), "")</f>
        <v>73.725999999999999</v>
      </c>
      <c r="P19" s="302">
        <f>IFERROR(Table5[[#This Row],[Payment Limit 2017Q1]]/Table5[[#This Row],[HCPCS code dosage 2017Q1]], "")</f>
        <v>7.3726000000000003</v>
      </c>
      <c r="Q19" s="275" t="s">
        <v>1167</v>
      </c>
      <c r="R19" s="275">
        <v>10</v>
      </c>
      <c r="S19" s="275" t="s">
        <v>1470</v>
      </c>
      <c r="T19" s="279">
        <f>IFERROR(VLOOKUP(Table5[[#This Row],[HCPCS code 2017 Q3]], ASP2017Q3[], 4, FALSE), "")</f>
        <v>74.841999999999999</v>
      </c>
      <c r="U19" s="279">
        <f>IFERROR(Table5[[#This Row],[Payment Limit 2017Q3]]/Table5[[#This Row],[HCPCS code dosage 2017Q3]], "")</f>
        <v>7.4841999999999995</v>
      </c>
      <c r="V19" s="374" t="s">
        <v>1167</v>
      </c>
      <c r="W19" s="377">
        <v>10</v>
      </c>
      <c r="X19" s="142" t="s">
        <v>1470</v>
      </c>
      <c r="Y19" s="279">
        <v>76.66</v>
      </c>
      <c r="Z19" s="370">
        <f>IFERROR(Table5[[#This Row],[Payment Limit 2018 Q1]]/Table5[[#This Row],[HCPCS code dosage 2018 Q1]],"")</f>
        <v>7.6659999999999995</v>
      </c>
      <c r="AA19" s="374" t="s">
        <v>1167</v>
      </c>
      <c r="AB19" s="381">
        <v>10</v>
      </c>
      <c r="AC19" s="142" t="s">
        <v>1470</v>
      </c>
      <c r="AD19" s="378">
        <v>78.852999999999994</v>
      </c>
      <c r="AE19" s="370">
        <f>IFERROR(Table5[[#This Row],[Payment Limit 2018 Q3]]/Table5[[#This Row],[HCPCS code dosage 2018 Q3]],"")</f>
        <v>7.8852999999999991</v>
      </c>
      <c r="AF19" s="275" t="s">
        <v>1167</v>
      </c>
      <c r="AG19" s="122">
        <v>8.1179000000000006</v>
      </c>
      <c r="AH19" s="117" t="s">
        <v>1167</v>
      </c>
      <c r="AI19" s="118">
        <v>10</v>
      </c>
      <c r="AJ19" s="118" t="s">
        <v>1470</v>
      </c>
      <c r="AK19" s="115">
        <f>IFERROR(VLOOKUP(Table5[[#This Row],[HCPCS code 2019Q3]], ASP2019Q3[], 4, FALSE), "")</f>
        <v>81.281999999999996</v>
      </c>
      <c r="AL19" s="72">
        <f>IFERROR(Table5[[#This Row],[Payment Limit 2019Q3]]/Table5[[#This Row],[HCPCS code dosage 2019Q3]], "")</f>
        <v>8.1281999999999996</v>
      </c>
      <c r="AM19" s="130" t="s">
        <v>1602</v>
      </c>
      <c r="AN19" s="130">
        <v>10</v>
      </c>
      <c r="AO19" s="130" t="s">
        <v>1470</v>
      </c>
      <c r="AP19" s="126">
        <f>IFERROR(VLOOKUP(Table5[[#This Row],[HCPCS code 2020Q1]], ASP2020Q1[], 4, FALSE), "")</f>
        <v>69.772199999999998</v>
      </c>
      <c r="AQ19" s="77">
        <f>IFERROR(Table5[[#This Row],[Payment Limit 2020Q1]]/Table5[[#This Row],[HCPCS code dosage 2020Q1]], "")</f>
        <v>6.97722</v>
      </c>
      <c r="AR19" s="133" t="s">
        <v>1602</v>
      </c>
      <c r="AS19" s="130">
        <v>10</v>
      </c>
      <c r="AT19" s="130" t="s">
        <v>1470</v>
      </c>
      <c r="AU19" s="132">
        <f>IFERROR(VLOOKUP(Table5[[#This Row],[HCPCS code 2020Q3]], ASP2020Q3[], 4, FALSE), "")</f>
        <v>62.421999999999997</v>
      </c>
      <c r="AV19" s="72">
        <f>IFERROR(Table5[[#This Row],[Payment limit 2020Q3]]/Table5[[#This Row],[HCPCS code dosage 2020Q3]],"")</f>
        <v>6.2421999999999995</v>
      </c>
      <c r="AW19" s="144" t="s">
        <v>1602</v>
      </c>
      <c r="AX19" s="118">
        <v>10</v>
      </c>
      <c r="AY19" s="144" t="s">
        <v>1470</v>
      </c>
      <c r="AZ19" s="144">
        <f>IFERROR(VLOOKUP(Table5[[#This Row],[HCPCS code 2021Q1]], ASP2021Q1[], 4, FALSE), "")</f>
        <v>56.732999999999997</v>
      </c>
      <c r="BA19" s="122">
        <f>IFERROR(Table5[[#This Row],[Payment limit 2021Q1]]/Table5[[#This Row],[HCPCS code dosage 2021Q1]], "")</f>
        <v>5.6732999999999993</v>
      </c>
      <c r="BB19" s="147" t="s">
        <v>1602</v>
      </c>
      <c r="BC19" s="118">
        <v>10</v>
      </c>
      <c r="BD19" s="144" t="s">
        <v>1470</v>
      </c>
      <c r="BE19" s="144">
        <f>IFERROR(VLOOKUP(Table5[[#This Row],[HCPCS code 2021Q3]], ASP2021Q3[], 4, FALSE), "")</f>
        <v>48.780999999999999</v>
      </c>
      <c r="BF19" s="122">
        <f>IFERROR(Table5[[#This Row],[Payment limit 2021Q3]]/Table5[[#This Row],[HCPCS code dosage 2021Q3]], "")</f>
        <v>4.8780999999999999</v>
      </c>
      <c r="BG19" s="147" t="s">
        <v>1602</v>
      </c>
      <c r="BH19" s="118">
        <v>10</v>
      </c>
      <c r="BI19" s="144" t="s">
        <v>1470</v>
      </c>
      <c r="BJ19" s="144">
        <f>IFERROR(VLOOKUP(Table5[[#This Row],[HCPCS code 2022Q1]], ASP2022Q1[], 4, FALSE), "")</f>
        <v>39.768000000000001</v>
      </c>
      <c r="BK19" s="122">
        <f>IFERROR(Table5[[#This Row],[Payment limit 2022Q1]]/Table5[[#This Row],[HCPCS code dosage 2022Q1]], "")</f>
        <v>3.9767999999999999</v>
      </c>
      <c r="BL19" s="144" t="s">
        <v>1602</v>
      </c>
      <c r="BM19" s="184">
        <v>10</v>
      </c>
      <c r="BN19" s="144" t="s">
        <v>1470</v>
      </c>
      <c r="BO19" s="144">
        <f>IFERROR(VLOOKUP(Table5[[#This Row],[HCPCS Code 2022Q3]], ASP2022Q3[], 4, FALSE), "")</f>
        <v>32.238999999999997</v>
      </c>
      <c r="BP19" s="122">
        <f>IFERROR(Table5[[#This Row],[Payment limit 2022Q3]]/Table5[[#This Row],[HCPCS code dosage 2022Q3]], "")</f>
        <v>3.2238999999999995</v>
      </c>
      <c r="BQ19" s="144" t="s">
        <v>1602</v>
      </c>
      <c r="BR19" s="118">
        <v>10</v>
      </c>
      <c r="BS19" s="144" t="s">
        <v>1470</v>
      </c>
      <c r="BT19" s="144">
        <v>31.696000000000002</v>
      </c>
      <c r="BU19" s="144">
        <f>IFERROR(Table5[[#This Row],[Payment limit 2023Q1]]/Table5[[#This Row],[HCPCS code dosage 2023Q1]], "")</f>
        <v>3.1696</v>
      </c>
      <c r="BV19" s="79" t="s">
        <v>1835</v>
      </c>
    </row>
    <row r="20" spans="1:74" x14ac:dyDescent="0.3">
      <c r="A20" s="62" t="s">
        <v>153</v>
      </c>
      <c r="B20" s="286" t="s">
        <v>1173</v>
      </c>
      <c r="C20" s="286">
        <v>15</v>
      </c>
      <c r="D20" s="307" t="s">
        <v>1470</v>
      </c>
      <c r="E20" s="292">
        <f>IFERROR(VLOOKUP(Table5[[#This Row],[HCPCS code 2016 Q1]], ASP2016Q1[], 4, FALSE), "")</f>
        <v>21.196000000000002</v>
      </c>
      <c r="F20" s="303">
        <f>IFERROR(Table5[[#This Row],[Payment Limit 2016Q1]]/Table5[[#This Row],[HCPCS code dosage 2016Q1]], "")</f>
        <v>1.4130666666666667</v>
      </c>
      <c r="G20" s="286" t="s">
        <v>1173</v>
      </c>
      <c r="H20" s="286">
        <v>15</v>
      </c>
      <c r="I20" s="307" t="s">
        <v>1470</v>
      </c>
      <c r="J20" s="292">
        <f>IFERROR(VLOOKUP(Table5[[#This Row],[HCPCS code 2016 Q3]], ASP2016Q3[], 4, FALSE), "")</f>
        <v>21.495999999999999</v>
      </c>
      <c r="K20" s="303">
        <f>IFERROR(Table5[[#This Row],[Payment Limit 2016Q3]]/Table5[[#This Row],[HCPCS code dosage 2016Q3]], "")</f>
        <v>1.4330666666666665</v>
      </c>
      <c r="L20" s="286" t="s">
        <v>1173</v>
      </c>
      <c r="M20" s="286">
        <v>15</v>
      </c>
      <c r="N20" s="307" t="s">
        <v>1470</v>
      </c>
      <c r="O20" s="291">
        <f>IFERROR(VLOOKUP(Table5[[#This Row],[HCPCS code 2017 Q1]], ASP2017Q1[], 4, FALSE), "")</f>
        <v>50.3</v>
      </c>
      <c r="P20" s="302">
        <f>IFERROR(Table5[[#This Row],[Payment Limit 2017Q1]]/Table5[[#This Row],[HCPCS code dosage 2017Q1]], "")</f>
        <v>3.3533333333333331</v>
      </c>
      <c r="Q20" s="275" t="s">
        <v>1173</v>
      </c>
      <c r="R20" s="275">
        <v>15</v>
      </c>
      <c r="S20" s="275" t="s">
        <v>1470</v>
      </c>
      <c r="T20" s="279">
        <f>IFERROR(VLOOKUP(Table5[[#This Row],[HCPCS code 2017 Q3]], ASP2017Q3[], 4, FALSE), "")</f>
        <v>46.497</v>
      </c>
      <c r="U20" s="279">
        <f>IFERROR(Table5[[#This Row],[Payment Limit 2017Q3]]/Table5[[#This Row],[HCPCS code dosage 2017Q3]], "")</f>
        <v>3.0998000000000001</v>
      </c>
      <c r="V20" s="374" t="s">
        <v>1173</v>
      </c>
      <c r="W20" s="377">
        <v>15</v>
      </c>
      <c r="X20" s="142" t="s">
        <v>1470</v>
      </c>
      <c r="Y20" s="279">
        <v>26.988</v>
      </c>
      <c r="Z20" s="370">
        <f>IFERROR(Table5[[#This Row],[Payment Limit 2018 Q1]]/Table5[[#This Row],[HCPCS code dosage 2018 Q1]],"")</f>
        <v>1.7991999999999999</v>
      </c>
      <c r="AA20" s="374" t="s">
        <v>1173</v>
      </c>
      <c r="AB20" s="381">
        <v>15</v>
      </c>
      <c r="AC20" s="142" t="s">
        <v>1470</v>
      </c>
      <c r="AD20" s="378">
        <v>27.818000000000001</v>
      </c>
      <c r="AE20" s="370">
        <f>IFERROR(Table5[[#This Row],[Payment Limit 2018 Q3]]/Table5[[#This Row],[HCPCS code dosage 2018 Q3]],"")</f>
        <v>1.8545333333333334</v>
      </c>
      <c r="AF20" s="275" t="s">
        <v>1173</v>
      </c>
      <c r="AG20" s="122">
        <v>1.9183333333333332</v>
      </c>
      <c r="AH20" s="117" t="s">
        <v>1173</v>
      </c>
      <c r="AI20" s="118" t="s">
        <v>1678</v>
      </c>
      <c r="AJ20" s="118" t="s">
        <v>1470</v>
      </c>
      <c r="AK20" s="115">
        <f>IFERROR(VLOOKUP(Table5[[#This Row],[HCPCS code 2019Q3]], ASP2019Q3[], 4, FALSE), "")</f>
        <v>27.637</v>
      </c>
      <c r="AL20" s="72">
        <f>IFERROR(Table5[[#This Row],[Payment Limit 2019Q3]]/Table5[[#This Row],[HCPCS code dosage 2019Q3]], "")</f>
        <v>1.8424666666666667</v>
      </c>
      <c r="AM20" s="130" t="s">
        <v>1173</v>
      </c>
      <c r="AN20" s="130" t="s">
        <v>1678</v>
      </c>
      <c r="AO20" s="130" t="s">
        <v>1470</v>
      </c>
      <c r="AP20" s="126">
        <f>IFERROR(VLOOKUP(Table5[[#This Row],[HCPCS code 2020Q1]], ASP2020Q1[], 4, FALSE), "")</f>
        <v>22.664999999999999</v>
      </c>
      <c r="AQ20" s="77">
        <f>IFERROR(Table5[[#This Row],[Payment Limit 2020Q1]]/Table5[[#This Row],[HCPCS code dosage 2020Q1]], "")</f>
        <v>1.5109999999999999</v>
      </c>
      <c r="AR20" s="133" t="s">
        <v>1173</v>
      </c>
      <c r="AS20" s="130" t="s">
        <v>1678</v>
      </c>
      <c r="AT20" s="130" t="s">
        <v>1470</v>
      </c>
      <c r="AU20" s="132">
        <f>IFERROR(VLOOKUP(Table5[[#This Row],[HCPCS code 2020Q3]], ASP2020Q3[], 4, FALSE), "")</f>
        <v>27.129000000000001</v>
      </c>
      <c r="AV20" s="72">
        <f>IFERROR(Table5[[#This Row],[Payment limit 2020Q3]]/Table5[[#This Row],[HCPCS code dosage 2020Q3]],"")</f>
        <v>1.8086</v>
      </c>
      <c r="AW20" s="144" t="s">
        <v>1173</v>
      </c>
      <c r="AX20" s="118" t="s">
        <v>1678</v>
      </c>
      <c r="AY20" s="144" t="s">
        <v>1470</v>
      </c>
      <c r="AZ20" s="144">
        <f>IFERROR(VLOOKUP(Table5[[#This Row],[HCPCS code 2021Q1]], ASP2021Q1[], 4, FALSE), "")</f>
        <v>27.007999999999999</v>
      </c>
      <c r="BA20" s="122">
        <f>IFERROR(Table5[[#This Row],[Payment limit 2021Q1]]/Table5[[#This Row],[HCPCS code dosage 2021Q1]], "")</f>
        <v>1.8005333333333333</v>
      </c>
      <c r="BB20" s="147" t="s">
        <v>1173</v>
      </c>
      <c r="BC20" s="118" t="s">
        <v>1678</v>
      </c>
      <c r="BD20" s="144" t="s">
        <v>1470</v>
      </c>
      <c r="BE20" s="144">
        <f>IFERROR(VLOOKUP(Table5[[#This Row],[HCPCS code 2021Q3]], ASP2021Q3[], 4, FALSE), "")</f>
        <v>29.468</v>
      </c>
      <c r="BF20" s="122">
        <f>IFERROR(Table5[[#This Row],[Payment limit 2021Q3]]/Table5[[#This Row],[HCPCS code dosage 2021Q3]], "")</f>
        <v>1.9645333333333332</v>
      </c>
      <c r="BG20" s="147" t="s">
        <v>1173</v>
      </c>
      <c r="BH20" s="118" t="s">
        <v>1678</v>
      </c>
      <c r="BI20" s="144" t="s">
        <v>1470</v>
      </c>
      <c r="BJ20" s="144">
        <f>IFERROR(VLOOKUP(Table5[[#This Row],[HCPCS code 2022Q1]], ASP2022Q1[], 4, FALSE), "")</f>
        <v>26.8</v>
      </c>
      <c r="BK20" s="122">
        <f>IFERROR(Table5[[#This Row],[Payment limit 2022Q1]]/Table5[[#This Row],[HCPCS code dosage 2022Q1]], "")</f>
        <v>1.7866666666666666</v>
      </c>
      <c r="BL20" s="144" t="s">
        <v>1173</v>
      </c>
      <c r="BM20" s="184">
        <v>15</v>
      </c>
      <c r="BN20" s="144" t="s">
        <v>1470</v>
      </c>
      <c r="BO20" s="144">
        <f>IFERROR(VLOOKUP(Table5[[#This Row],[HCPCS Code 2022Q3]], ASP2022Q3[], 4, FALSE), "")</f>
        <v>24.117000000000001</v>
      </c>
      <c r="BP20" s="122">
        <f>IFERROR(Table5[[#This Row],[Payment limit 2022Q3]]/Table5[[#This Row],[HCPCS code dosage 2022Q3]], "")</f>
        <v>1.6078000000000001</v>
      </c>
      <c r="BQ20" s="144" t="s">
        <v>1173</v>
      </c>
      <c r="BR20" s="118">
        <v>15</v>
      </c>
      <c r="BS20" s="144" t="s">
        <v>1542</v>
      </c>
      <c r="BT20" s="144">
        <v>25.245000000000001</v>
      </c>
      <c r="BU20" s="144">
        <f>IFERROR(Table5[[#This Row],[Payment limit 2023Q1]]/Table5[[#This Row],[HCPCS code dosage 2023Q1]], "")</f>
        <v>1.6830000000000001</v>
      </c>
      <c r="BV20" s="79"/>
    </row>
    <row r="21" spans="1:74" x14ac:dyDescent="0.3">
      <c r="A21" s="62" t="s">
        <v>99</v>
      </c>
      <c r="B21" s="286" t="s">
        <v>1176</v>
      </c>
      <c r="C21" s="286">
        <v>0.1</v>
      </c>
      <c r="D21" s="307" t="s">
        <v>1470</v>
      </c>
      <c r="E21" s="292">
        <f>IFERROR(VLOOKUP(Table5[[#This Row],[HCPCS code 2016 Q1]], ASP2016Q1[], 4, FALSE), "")</f>
        <v>46.818322285714281</v>
      </c>
      <c r="F21" s="303">
        <f>IFERROR(Table5[[#This Row],[Payment Limit 2016Q1]]/Table5[[#This Row],[HCPCS code dosage 2016Q1]], "")</f>
        <v>468.18322285714277</v>
      </c>
      <c r="G21" s="286" t="s">
        <v>1176</v>
      </c>
      <c r="H21" s="286">
        <v>0.1</v>
      </c>
      <c r="I21" s="307" t="s">
        <v>1470</v>
      </c>
      <c r="J21" s="292">
        <f>IFERROR(VLOOKUP(Table5[[#This Row],[HCPCS code 2016 Q3]], ASP2016Q3[], 4, FALSE), "")</f>
        <v>46.563000000000002</v>
      </c>
      <c r="K21" s="303">
        <f>IFERROR(Table5[[#This Row],[Payment Limit 2016Q3]]/Table5[[#This Row],[HCPCS code dosage 2016Q3]], "")</f>
        <v>465.63</v>
      </c>
      <c r="L21" s="286" t="s">
        <v>1176</v>
      </c>
      <c r="M21" s="286">
        <v>0.1</v>
      </c>
      <c r="N21" s="307" t="s">
        <v>1470</v>
      </c>
      <c r="O21" s="291">
        <f>IFERROR(VLOOKUP(Table5[[#This Row],[HCPCS code 2017 Q1]], ASP2017Q1[], 4, FALSE), "")</f>
        <v>46.262999999999998</v>
      </c>
      <c r="P21" s="302">
        <f>IFERROR(Table5[[#This Row],[Payment Limit 2017Q1]]/Table5[[#This Row],[HCPCS code dosage 2017Q1]], "")</f>
        <v>462.62999999999994</v>
      </c>
      <c r="Q21" s="275" t="s">
        <v>1176</v>
      </c>
      <c r="R21" s="275">
        <v>0.1</v>
      </c>
      <c r="S21" s="275" t="s">
        <v>1470</v>
      </c>
      <c r="T21" s="279">
        <f>IFERROR(VLOOKUP(Table5[[#This Row],[HCPCS code 2017 Q3]], ASP2017Q3[], 4, FALSE), "")</f>
        <v>46.84</v>
      </c>
      <c r="U21" s="279">
        <f>IFERROR(Table5[[#This Row],[Payment Limit 2017Q3]]/Table5[[#This Row],[HCPCS code dosage 2017Q3]], "")</f>
        <v>468.40000000000003</v>
      </c>
      <c r="V21" s="374" t="s">
        <v>1176</v>
      </c>
      <c r="W21" s="377">
        <v>0.1</v>
      </c>
      <c r="X21" s="142" t="s">
        <v>1470</v>
      </c>
      <c r="Y21" s="279">
        <v>46.95</v>
      </c>
      <c r="Z21" s="370">
        <f>IFERROR(Table5[[#This Row],[Payment Limit 2018 Q1]]/Table5[[#This Row],[HCPCS code dosage 2018 Q1]],"")</f>
        <v>469.5</v>
      </c>
      <c r="AA21" s="374" t="s">
        <v>1176</v>
      </c>
      <c r="AB21" s="381">
        <v>0.1</v>
      </c>
      <c r="AC21" s="142" t="s">
        <v>1470</v>
      </c>
      <c r="AD21" s="378">
        <v>46.744999999999997</v>
      </c>
      <c r="AE21" s="370">
        <f>IFERROR(Table5[[#This Row],[Payment Limit 2018 Q3]]/Table5[[#This Row],[HCPCS code dosage 2018 Q3]],"")</f>
        <v>467.44999999999993</v>
      </c>
      <c r="AF21" s="275" t="s">
        <v>1182</v>
      </c>
      <c r="AG21" s="122">
        <v>356.67</v>
      </c>
      <c r="AH21" s="117" t="s">
        <v>1182</v>
      </c>
      <c r="AI21" s="118" t="s">
        <v>1671</v>
      </c>
      <c r="AJ21" s="118" t="s">
        <v>1470</v>
      </c>
      <c r="AK21" s="115">
        <f>IFERROR(VLOOKUP(Table5[[#This Row],[HCPCS code 2019Q3]], ASP2019Q3[], 4, FALSE), "")</f>
        <v>25.190999999999999</v>
      </c>
      <c r="AL21" s="72">
        <f>IFERROR(Table5[[#This Row],[Payment Limit 2019Q3]]/Table5[[#This Row],[HCPCS code dosage 2019Q3]], "")</f>
        <v>251.90999999999997</v>
      </c>
      <c r="AM21" s="130" t="s">
        <v>1182</v>
      </c>
      <c r="AN21" s="130" t="s">
        <v>1671</v>
      </c>
      <c r="AO21" s="130" t="s">
        <v>1470</v>
      </c>
      <c r="AP21" s="126">
        <f>IFERROR(VLOOKUP(Table5[[#This Row],[HCPCS code 2020Q1]], ASP2020Q1[], 4, FALSE), "")</f>
        <v>22.704000000000001</v>
      </c>
      <c r="AQ21" s="77">
        <f>IFERROR(Table5[[#This Row],[Payment Limit 2020Q1]]/Table5[[#This Row],[HCPCS code dosage 2020Q1]], "")</f>
        <v>227.04</v>
      </c>
      <c r="AR21" s="133" t="s">
        <v>1182</v>
      </c>
      <c r="AS21" s="130" t="s">
        <v>1671</v>
      </c>
      <c r="AT21" s="130" t="s">
        <v>1470</v>
      </c>
      <c r="AU21" s="132">
        <f>IFERROR(VLOOKUP(Table5[[#This Row],[HCPCS code 2020Q3]], ASP2020Q3[], 4, FALSE), "")</f>
        <v>24.167000000000002</v>
      </c>
      <c r="AV21" s="72">
        <f>IFERROR(Table5[[#This Row],[Payment limit 2020Q3]]/Table5[[#This Row],[HCPCS code dosage 2020Q3]],"")</f>
        <v>241.67000000000002</v>
      </c>
      <c r="AW21" s="144" t="s">
        <v>1182</v>
      </c>
      <c r="AX21" s="118" t="s">
        <v>1671</v>
      </c>
      <c r="AY21" s="144" t="s">
        <v>1470</v>
      </c>
      <c r="AZ21" s="144">
        <f>IFERROR(VLOOKUP(Table5[[#This Row],[HCPCS code 2021Q1]], ASP2021Q1[], 4, FALSE), "")</f>
        <v>21.100999999999999</v>
      </c>
      <c r="BA21" s="122">
        <f>IFERROR(Table5[[#This Row],[Payment limit 2021Q1]]/Table5[[#This Row],[HCPCS code dosage 2021Q1]], "")</f>
        <v>211.01</v>
      </c>
      <c r="BB21" s="147" t="s">
        <v>1182</v>
      </c>
      <c r="BC21" s="118" t="s">
        <v>1671</v>
      </c>
      <c r="BD21" s="144" t="s">
        <v>1470</v>
      </c>
      <c r="BE21" s="144">
        <f>IFERROR(VLOOKUP(Table5[[#This Row],[HCPCS code 2021Q3]], ASP2021Q3[], 4, FALSE), "")</f>
        <v>19.303000000000001</v>
      </c>
      <c r="BF21" s="122">
        <f>IFERROR(Table5[[#This Row],[Payment limit 2021Q3]]/Table5[[#This Row],[HCPCS code dosage 2021Q3]], "")</f>
        <v>193.03</v>
      </c>
      <c r="BG21" s="147" t="s">
        <v>1182</v>
      </c>
      <c r="BH21" s="118" t="s">
        <v>1671</v>
      </c>
      <c r="BI21" s="144" t="s">
        <v>1470</v>
      </c>
      <c r="BJ21" s="144">
        <f>IFERROR(VLOOKUP(Table5[[#This Row],[HCPCS code 2022Q1]], ASP2022Q1[], 4, FALSE), "")</f>
        <v>16.771000000000001</v>
      </c>
      <c r="BK21" s="122">
        <f>IFERROR(Table5[[#This Row],[Payment limit 2022Q1]]/Table5[[#This Row],[HCPCS code dosage 2022Q1]], "")</f>
        <v>167.71</v>
      </c>
      <c r="BL21" s="144" t="s">
        <v>1182</v>
      </c>
      <c r="BM21" s="184">
        <v>0.1</v>
      </c>
      <c r="BN21" s="144" t="s">
        <v>1470</v>
      </c>
      <c r="BO21" s="144">
        <f>IFERROR(VLOOKUP(Table5[[#This Row],[HCPCS Code 2022Q3]], ASP2022Q3[], 4, FALSE), "")</f>
        <v>14.866</v>
      </c>
      <c r="BP21" s="122">
        <f>IFERROR(Table5[[#This Row],[Payment limit 2022Q3]]/Table5[[#This Row],[HCPCS code dosage 2022Q3]], "")</f>
        <v>148.66</v>
      </c>
      <c r="BQ21" s="244" t="s">
        <v>1176</v>
      </c>
      <c r="BR21" s="118">
        <v>0.1</v>
      </c>
      <c r="BS21" s="144" t="s">
        <v>1470</v>
      </c>
      <c r="BT21" s="144">
        <v>9.0109999999999992</v>
      </c>
      <c r="BU21" s="144">
        <f>IFERROR(Table5[[#This Row],[Payment limit 2023Q1]]/Table5[[#This Row],[HCPCS code dosage 2023Q1]], "")</f>
        <v>90.109999999999985</v>
      </c>
      <c r="BV21" s="79" t="s">
        <v>2383</v>
      </c>
    </row>
    <row r="22" spans="1:74" x14ac:dyDescent="0.3">
      <c r="A22" s="62" t="s">
        <v>123</v>
      </c>
      <c r="B22" s="286" t="s">
        <v>1176</v>
      </c>
      <c r="C22" s="286">
        <v>0.1</v>
      </c>
      <c r="D22" s="307" t="s">
        <v>1470</v>
      </c>
      <c r="E22" s="292">
        <f>IFERROR(VLOOKUP(Table5[[#This Row],[HCPCS code 2016 Q1]], ASP2016Q1[], 4, FALSE), "")</f>
        <v>46.818322285714281</v>
      </c>
      <c r="F22" s="303">
        <f>IFERROR(Table5[[#This Row],[Payment Limit 2016Q1]]/Table5[[#This Row],[HCPCS code dosage 2016Q1]], "")</f>
        <v>468.18322285714277</v>
      </c>
      <c r="G22" s="286" t="s">
        <v>1176</v>
      </c>
      <c r="H22" s="286">
        <v>0.1</v>
      </c>
      <c r="I22" s="307" t="s">
        <v>1470</v>
      </c>
      <c r="J22" s="292">
        <f>IFERROR(VLOOKUP(Table5[[#This Row],[HCPCS code 2016 Q3]], ASP2016Q3[], 4, FALSE), "")</f>
        <v>46.563000000000002</v>
      </c>
      <c r="K22" s="303">
        <f>IFERROR(Table5[[#This Row],[Payment Limit 2016Q3]]/Table5[[#This Row],[HCPCS code dosage 2016Q3]], "")</f>
        <v>465.63</v>
      </c>
      <c r="L22" s="286" t="s">
        <v>1176</v>
      </c>
      <c r="M22" s="286">
        <v>0.1</v>
      </c>
      <c r="N22" s="307" t="s">
        <v>1470</v>
      </c>
      <c r="O22" s="291">
        <f>IFERROR(VLOOKUP(Table5[[#This Row],[HCPCS code 2017 Q1]], ASP2017Q1[], 4, FALSE), "")</f>
        <v>46.262999999999998</v>
      </c>
      <c r="P22" s="302">
        <f>IFERROR(Table5[[#This Row],[Payment Limit 2017Q1]]/Table5[[#This Row],[HCPCS code dosage 2017Q1]], "")</f>
        <v>462.62999999999994</v>
      </c>
      <c r="Q22" s="275" t="s">
        <v>1176</v>
      </c>
      <c r="R22" s="275">
        <v>0.1</v>
      </c>
      <c r="S22" s="275" t="s">
        <v>1470</v>
      </c>
      <c r="T22" s="279">
        <f>IFERROR(VLOOKUP(Table5[[#This Row],[HCPCS code 2017 Q3]], ASP2017Q3[], 4, FALSE), "")</f>
        <v>46.84</v>
      </c>
      <c r="U22" s="279">
        <f>IFERROR(Table5[[#This Row],[Payment Limit 2017Q3]]/Table5[[#This Row],[HCPCS code dosage 2017Q3]], "")</f>
        <v>468.40000000000003</v>
      </c>
      <c r="V22" s="374" t="s">
        <v>1176</v>
      </c>
      <c r="W22" s="377">
        <v>0.1</v>
      </c>
      <c r="X22" s="142" t="s">
        <v>1470</v>
      </c>
      <c r="Y22" s="279">
        <v>46.95</v>
      </c>
      <c r="Z22" s="370">
        <f>IFERROR(Table5[[#This Row],[Payment Limit 2018 Q1]]/Table5[[#This Row],[HCPCS code dosage 2018 Q1]],"")</f>
        <v>469.5</v>
      </c>
      <c r="AA22" s="374" t="s">
        <v>1176</v>
      </c>
      <c r="AB22" s="381">
        <v>0.1</v>
      </c>
      <c r="AC22" s="142" t="s">
        <v>1470</v>
      </c>
      <c r="AD22" s="378">
        <v>46.744999999999997</v>
      </c>
      <c r="AE22" s="370">
        <f>IFERROR(Table5[[#This Row],[Payment Limit 2018 Q3]]/Table5[[#This Row],[HCPCS code dosage 2018 Q3]],"")</f>
        <v>467.44999999999993</v>
      </c>
      <c r="AF22" s="275" t="s">
        <v>1182</v>
      </c>
      <c r="AG22" s="122">
        <v>356.67</v>
      </c>
      <c r="AH22" s="117" t="s">
        <v>1182</v>
      </c>
      <c r="AI22" s="118" t="s">
        <v>1671</v>
      </c>
      <c r="AJ22" s="118" t="s">
        <v>1470</v>
      </c>
      <c r="AK22" s="115">
        <f>IFERROR(VLOOKUP(Table5[[#This Row],[HCPCS code 2019Q3]], ASP2019Q3[], 4, FALSE), "")</f>
        <v>25.190999999999999</v>
      </c>
      <c r="AL22" s="72">
        <f>IFERROR(Table5[[#This Row],[Payment Limit 2019Q3]]/Table5[[#This Row],[HCPCS code dosage 2019Q3]], "")</f>
        <v>251.90999999999997</v>
      </c>
      <c r="AM22" s="130" t="s">
        <v>1182</v>
      </c>
      <c r="AN22" s="130" t="s">
        <v>1671</v>
      </c>
      <c r="AO22" s="130" t="s">
        <v>1470</v>
      </c>
      <c r="AP22" s="126">
        <f>IFERROR(VLOOKUP(Table5[[#This Row],[HCPCS code 2020Q1]], ASP2020Q1[], 4, FALSE), "")</f>
        <v>22.704000000000001</v>
      </c>
      <c r="AQ22" s="77">
        <f>IFERROR(Table5[[#This Row],[Payment Limit 2020Q1]]/Table5[[#This Row],[HCPCS code dosage 2020Q1]], "")</f>
        <v>227.04</v>
      </c>
      <c r="AR22" s="133" t="s">
        <v>1182</v>
      </c>
      <c r="AS22" s="130" t="s">
        <v>1671</v>
      </c>
      <c r="AT22" s="130" t="s">
        <v>1470</v>
      </c>
      <c r="AU22" s="132">
        <f>IFERROR(VLOOKUP(Table5[[#This Row],[HCPCS code 2020Q3]], ASP2020Q3[], 4, FALSE), "")</f>
        <v>24.167000000000002</v>
      </c>
      <c r="AV22" s="72">
        <f>IFERROR(Table5[[#This Row],[Payment limit 2020Q3]]/Table5[[#This Row],[HCPCS code dosage 2020Q3]],"")</f>
        <v>241.67000000000002</v>
      </c>
      <c r="AW22" s="144" t="s">
        <v>1182</v>
      </c>
      <c r="AX22" s="118" t="s">
        <v>1671</v>
      </c>
      <c r="AY22" s="144" t="s">
        <v>1470</v>
      </c>
      <c r="AZ22" s="144">
        <f>IFERROR(VLOOKUP(Table5[[#This Row],[HCPCS code 2021Q1]], ASP2021Q1[], 4, FALSE), "")</f>
        <v>21.100999999999999</v>
      </c>
      <c r="BA22" s="122">
        <f>IFERROR(Table5[[#This Row],[Payment limit 2021Q1]]/Table5[[#This Row],[HCPCS code dosage 2021Q1]], "")</f>
        <v>211.01</v>
      </c>
      <c r="BB22" s="147" t="s">
        <v>1182</v>
      </c>
      <c r="BC22" s="118" t="s">
        <v>1671</v>
      </c>
      <c r="BD22" s="144" t="s">
        <v>1470</v>
      </c>
      <c r="BE22" s="144">
        <f>IFERROR(VLOOKUP(Table5[[#This Row],[HCPCS code 2021Q3]], ASP2021Q3[], 4, FALSE), "")</f>
        <v>19.303000000000001</v>
      </c>
      <c r="BF22" s="122">
        <f>IFERROR(Table5[[#This Row],[Payment limit 2021Q3]]/Table5[[#This Row],[HCPCS code dosage 2021Q3]], "")</f>
        <v>193.03</v>
      </c>
      <c r="BG22" s="147" t="s">
        <v>1182</v>
      </c>
      <c r="BH22" s="118" t="s">
        <v>1671</v>
      </c>
      <c r="BI22" s="144" t="s">
        <v>1470</v>
      </c>
      <c r="BJ22" s="144">
        <f>IFERROR(VLOOKUP(Table5[[#This Row],[HCPCS code 2022Q1]], ASP2022Q1[], 4, FALSE), "")</f>
        <v>16.771000000000001</v>
      </c>
      <c r="BK22" s="122">
        <f>IFERROR(Table5[[#This Row],[Payment limit 2022Q1]]/Table5[[#This Row],[HCPCS code dosage 2022Q1]], "")</f>
        <v>167.71</v>
      </c>
      <c r="BL22" s="144" t="s">
        <v>1182</v>
      </c>
      <c r="BM22" s="184">
        <v>0.1</v>
      </c>
      <c r="BN22" s="144" t="s">
        <v>1470</v>
      </c>
      <c r="BO22" s="144">
        <f>IFERROR(VLOOKUP(Table5[[#This Row],[HCPCS Code 2022Q3]], ASP2022Q3[], 4, FALSE), "")</f>
        <v>14.866</v>
      </c>
      <c r="BP22" s="122">
        <f>IFERROR(Table5[[#This Row],[Payment limit 2022Q3]]/Table5[[#This Row],[HCPCS code dosage 2022Q3]], "")</f>
        <v>148.66</v>
      </c>
      <c r="BQ22" s="244" t="s">
        <v>1176</v>
      </c>
      <c r="BR22" s="118">
        <v>0.1</v>
      </c>
      <c r="BS22" s="144" t="s">
        <v>1470</v>
      </c>
      <c r="BT22" s="144">
        <v>9.0109999999999992</v>
      </c>
      <c r="BU22" s="144">
        <f>IFERROR(Table5[[#This Row],[Payment limit 2023Q1]]/Table5[[#This Row],[HCPCS code dosage 2023Q1]], "")</f>
        <v>90.109999999999985</v>
      </c>
      <c r="BV22" s="79" t="s">
        <v>2383</v>
      </c>
    </row>
    <row r="23" spans="1:74" x14ac:dyDescent="0.3">
      <c r="A23" s="62" t="s">
        <v>103</v>
      </c>
      <c r="B23" s="286" t="s">
        <v>1178</v>
      </c>
      <c r="C23" s="286">
        <v>1</v>
      </c>
      <c r="D23" s="307" t="s">
        <v>1470</v>
      </c>
      <c r="E23" s="292">
        <f>IFERROR(VLOOKUP(Table5[[#This Row],[HCPCS code 2016 Q1]], ASP2016Q1[], 4, FALSE), "")</f>
        <v>124.422</v>
      </c>
      <c r="F23" s="303">
        <f>IFERROR(Table5[[#This Row],[Payment Limit 2016Q1]]/Table5[[#This Row],[HCPCS code dosage 2016Q1]], "")</f>
        <v>124.422</v>
      </c>
      <c r="G23" s="286" t="s">
        <v>1178</v>
      </c>
      <c r="H23" s="286">
        <v>1</v>
      </c>
      <c r="I23" s="307" t="s">
        <v>1470</v>
      </c>
      <c r="J23" s="292">
        <f>IFERROR(VLOOKUP(Table5[[#This Row],[HCPCS code 2016 Q3]], ASP2016Q3[], 4, FALSE), "")</f>
        <v>129.28700000000001</v>
      </c>
      <c r="K23" s="303">
        <f>IFERROR(Table5[[#This Row],[Payment Limit 2016Q3]]/Table5[[#This Row],[HCPCS code dosage 2016Q3]], "")</f>
        <v>129.28700000000001</v>
      </c>
      <c r="L23" s="286" t="s">
        <v>1178</v>
      </c>
      <c r="M23" s="286">
        <v>1</v>
      </c>
      <c r="N23" s="307" t="s">
        <v>1470</v>
      </c>
      <c r="O23" s="291">
        <f>IFERROR(VLOOKUP(Table5[[#This Row],[HCPCS code 2017 Q1]], ASP2017Q1[], 4, FALSE), "")</f>
        <v>134.44399999999999</v>
      </c>
      <c r="P23" s="302">
        <f>IFERROR(Table5[[#This Row],[Payment Limit 2017Q1]]/Table5[[#This Row],[HCPCS code dosage 2017Q1]], "")</f>
        <v>134.44399999999999</v>
      </c>
      <c r="Q23" s="275" t="s">
        <v>1178</v>
      </c>
      <c r="R23" s="275">
        <v>1</v>
      </c>
      <c r="S23" s="275" t="s">
        <v>1470</v>
      </c>
      <c r="T23" s="279">
        <f>IFERROR(VLOOKUP(Table5[[#This Row],[HCPCS code 2017 Q3]], ASP2017Q3[], 4, FALSE), "")</f>
        <v>139.75299999999999</v>
      </c>
      <c r="U23" s="279">
        <f>IFERROR(Table5[[#This Row],[Payment Limit 2017Q3]]/Table5[[#This Row],[HCPCS code dosage 2017Q3]], "")</f>
        <v>139.75299999999999</v>
      </c>
      <c r="V23" s="374" t="s">
        <v>1178</v>
      </c>
      <c r="W23" s="377">
        <v>1</v>
      </c>
      <c r="X23" s="142" t="s">
        <v>1470</v>
      </c>
      <c r="Y23" s="279">
        <v>144.95599999999999</v>
      </c>
      <c r="Z23" s="370">
        <f>IFERROR(Table5[[#This Row],[Payment Limit 2018 Q1]]/Table5[[#This Row],[HCPCS code dosage 2018 Q1]],"")</f>
        <v>144.95599999999999</v>
      </c>
      <c r="AA23" s="374" t="s">
        <v>1178</v>
      </c>
      <c r="AB23" s="381">
        <v>1</v>
      </c>
      <c r="AC23" s="142" t="s">
        <v>1470</v>
      </c>
      <c r="AD23" s="378">
        <v>150.81899999999999</v>
      </c>
      <c r="AE23" s="370">
        <f>IFERROR(Table5[[#This Row],[Payment Limit 2018 Q3]]/Table5[[#This Row],[HCPCS code dosage 2018 Q3]],"")</f>
        <v>150.81899999999999</v>
      </c>
      <c r="AF23" s="275" t="s">
        <v>1178</v>
      </c>
      <c r="AG23" s="122">
        <v>156.72200000000001</v>
      </c>
      <c r="AH23" s="117" t="s">
        <v>1178</v>
      </c>
      <c r="AI23" s="118" t="s">
        <v>1665</v>
      </c>
      <c r="AJ23" s="118" t="s">
        <v>1470</v>
      </c>
      <c r="AK23" s="115">
        <f>IFERROR(VLOOKUP(Table5[[#This Row],[HCPCS code 2019Q3]], ASP2019Q3[], 4, FALSE), "")</f>
        <v>163.066</v>
      </c>
      <c r="AL23" s="72">
        <f>IFERROR(Table5[[#This Row],[Payment Limit 2019Q3]]/Table5[[#This Row],[HCPCS code dosage 2019Q3]], "")</f>
        <v>163.066</v>
      </c>
      <c r="AM23" s="130" t="s">
        <v>1178</v>
      </c>
      <c r="AN23" s="130" t="s">
        <v>1665</v>
      </c>
      <c r="AO23" s="130" t="s">
        <v>1470</v>
      </c>
      <c r="AP23" s="126">
        <f>IFERROR(VLOOKUP(Table5[[#This Row],[HCPCS code 2020Q1]], ASP2020Q1[], 4, FALSE), "")</f>
        <v>169.374</v>
      </c>
      <c r="AQ23" s="77">
        <f>IFERROR(Table5[[#This Row],[Payment Limit 2020Q1]]/Table5[[#This Row],[HCPCS code dosage 2020Q1]], "")</f>
        <v>169.374</v>
      </c>
      <c r="AR23" s="133" t="s">
        <v>1178</v>
      </c>
      <c r="AS23" s="130" t="s">
        <v>1665</v>
      </c>
      <c r="AT23" s="130" t="s">
        <v>1470</v>
      </c>
      <c r="AU23" s="132">
        <f>IFERROR(VLOOKUP(Table5[[#This Row],[HCPCS code 2020Q3]], ASP2020Q3[], 4, FALSE), "")</f>
        <v>175.86099999999999</v>
      </c>
      <c r="AV23" s="72">
        <f>IFERROR(Table5[[#This Row],[Payment limit 2020Q3]]/Table5[[#This Row],[HCPCS code dosage 2020Q3]],"")</f>
        <v>175.86099999999999</v>
      </c>
      <c r="AW23" s="144" t="s">
        <v>1178</v>
      </c>
      <c r="AX23" s="118" t="s">
        <v>1665</v>
      </c>
      <c r="AY23" s="144" t="s">
        <v>1470</v>
      </c>
      <c r="AZ23" s="144">
        <f>IFERROR(VLOOKUP(Table5[[#This Row],[HCPCS code 2021Q1]], ASP2021Q1[], 4, FALSE), "")</f>
        <v>182.08</v>
      </c>
      <c r="BA23" s="122">
        <f>IFERROR(Table5[[#This Row],[Payment limit 2021Q1]]/Table5[[#This Row],[HCPCS code dosage 2021Q1]], "")</f>
        <v>182.08</v>
      </c>
      <c r="BB23" s="147" t="s">
        <v>1178</v>
      </c>
      <c r="BC23" s="118" t="s">
        <v>1665</v>
      </c>
      <c r="BD23" s="144" t="s">
        <v>1470</v>
      </c>
      <c r="BE23" s="144">
        <f>IFERROR(VLOOKUP(Table5[[#This Row],[HCPCS code 2021Q3]], ASP2021Q3[], 4, FALSE), "")</f>
        <v>189.16399999999999</v>
      </c>
      <c r="BF23" s="122">
        <f>IFERROR(Table5[[#This Row],[Payment limit 2021Q3]]/Table5[[#This Row],[HCPCS code dosage 2021Q3]], "")</f>
        <v>189.16399999999999</v>
      </c>
      <c r="BG23" s="147" t="s">
        <v>1178</v>
      </c>
      <c r="BH23" s="118" t="s">
        <v>1665</v>
      </c>
      <c r="BI23" s="144" t="s">
        <v>1470</v>
      </c>
      <c r="BJ23" s="144">
        <f>IFERROR(VLOOKUP(Table5[[#This Row],[HCPCS code 2022Q1]], ASP2022Q1[], 4, FALSE), "")</f>
        <v>196.547</v>
      </c>
      <c r="BK23" s="122">
        <f>IFERROR(Table5[[#This Row],[Payment limit 2022Q1]]/Table5[[#This Row],[HCPCS code dosage 2022Q1]], "")</f>
        <v>196.547</v>
      </c>
      <c r="BL23" s="144" t="s">
        <v>1178</v>
      </c>
      <c r="BM23" s="184">
        <v>1</v>
      </c>
      <c r="BN23" s="144" t="s">
        <v>1470</v>
      </c>
      <c r="BO23" s="144">
        <f>IFERROR(VLOOKUP(Table5[[#This Row],[HCPCS Code 2022Q3]], ASP2022Q3[], 4, FALSE), "")</f>
        <v>205.56399999999999</v>
      </c>
      <c r="BP23" s="122">
        <f>IFERROR(Table5[[#This Row],[Payment limit 2022Q3]]/Table5[[#This Row],[HCPCS code dosage 2022Q3]], "")</f>
        <v>205.56399999999999</v>
      </c>
      <c r="BQ23" s="144" t="s">
        <v>1178</v>
      </c>
      <c r="BR23" s="118">
        <v>1</v>
      </c>
      <c r="BS23" s="144" t="s">
        <v>1470</v>
      </c>
      <c r="BT23" s="144">
        <v>213.654</v>
      </c>
      <c r="BU23" s="144">
        <f>IFERROR(Table5[[#This Row],[Payment limit 2023Q1]]/Table5[[#This Row],[HCPCS code dosage 2023Q1]], "")</f>
        <v>213.654</v>
      </c>
      <c r="BV23" s="79"/>
    </row>
    <row r="24" spans="1:74" x14ac:dyDescent="0.3">
      <c r="A24" s="62" t="s">
        <v>167</v>
      </c>
      <c r="B24" s="286" t="s">
        <v>365</v>
      </c>
      <c r="C24" s="286">
        <v>1</v>
      </c>
      <c r="D24" s="307" t="s">
        <v>1470</v>
      </c>
      <c r="E24" s="292">
        <f>IFERROR(VLOOKUP(Table5[[#This Row],[HCPCS code 2016 Q1]], ASP2016Q1[], 4, FALSE), "")</f>
        <v>33.174999999999997</v>
      </c>
      <c r="F24" s="303">
        <f>IFERROR(Table5[[#This Row],[Payment Limit 2016Q1]]/Table5[[#This Row],[HCPCS code dosage 2016Q1]], "")</f>
        <v>33.174999999999997</v>
      </c>
      <c r="G24" s="286" t="s">
        <v>365</v>
      </c>
      <c r="H24" s="286">
        <v>1</v>
      </c>
      <c r="I24" s="307" t="s">
        <v>1470</v>
      </c>
      <c r="J24" s="292">
        <f>IFERROR(VLOOKUP(Table5[[#This Row],[HCPCS code 2016 Q3]], ASP2016Q3[], 4, FALSE), "")</f>
        <v>35.21</v>
      </c>
      <c r="K24" s="303">
        <f>IFERROR(Table5[[#This Row],[Payment Limit 2016Q3]]/Table5[[#This Row],[HCPCS code dosage 2016Q3]], "")</f>
        <v>35.21</v>
      </c>
      <c r="L24" s="286" t="s">
        <v>365</v>
      </c>
      <c r="M24" s="286">
        <v>1</v>
      </c>
      <c r="N24" s="307" t="s">
        <v>1470</v>
      </c>
      <c r="O24" s="291">
        <f>IFERROR(VLOOKUP(Table5[[#This Row],[HCPCS code 2017 Q1]], ASP2017Q1[], 4, FALSE), "")</f>
        <v>37.286000000000001</v>
      </c>
      <c r="P24" s="302">
        <f>IFERROR(Table5[[#This Row],[Payment Limit 2017Q1]]/Table5[[#This Row],[HCPCS code dosage 2017Q1]], "")</f>
        <v>37.286000000000001</v>
      </c>
      <c r="Q24" s="275" t="s">
        <v>365</v>
      </c>
      <c r="R24" s="275">
        <v>1</v>
      </c>
      <c r="S24" s="275" t="s">
        <v>1470</v>
      </c>
      <c r="T24" s="279">
        <f>IFERROR(VLOOKUP(Table5[[#This Row],[HCPCS code 2017 Q3]], ASP2017Q3[], 4, FALSE), "")</f>
        <v>35.854999999999997</v>
      </c>
      <c r="U24" s="279">
        <f>IFERROR(Table5[[#This Row],[Payment Limit 2017Q3]]/Table5[[#This Row],[HCPCS code dosage 2017Q3]], "")</f>
        <v>35.854999999999997</v>
      </c>
      <c r="V24" s="374" t="s">
        <v>365</v>
      </c>
      <c r="W24" s="377">
        <v>1</v>
      </c>
      <c r="X24" s="142" t="s">
        <v>1470</v>
      </c>
      <c r="Y24" s="279">
        <v>31.401</v>
      </c>
      <c r="Z24" s="370">
        <f>IFERROR(Table5[[#This Row],[Payment Limit 2018 Q1]]/Table5[[#This Row],[HCPCS code dosage 2018 Q1]],"")</f>
        <v>31.401</v>
      </c>
      <c r="AA24" s="374" t="s">
        <v>365</v>
      </c>
      <c r="AB24" s="381">
        <v>1</v>
      </c>
      <c r="AC24" s="142" t="s">
        <v>1470</v>
      </c>
      <c r="AD24" s="378">
        <v>20.271000000000001</v>
      </c>
      <c r="AE24" s="370">
        <f>IFERROR(Table5[[#This Row],[Payment Limit 2018 Q3]]/Table5[[#This Row],[HCPCS code dosage 2018 Q3]],"")</f>
        <v>20.271000000000001</v>
      </c>
      <c r="AF24" s="275" t="s">
        <v>365</v>
      </c>
      <c r="AG24" s="122"/>
      <c r="AH24" s="117" t="s">
        <v>365</v>
      </c>
      <c r="AI24" s="118" t="s">
        <v>1665</v>
      </c>
      <c r="AJ24" s="118" t="s">
        <v>1470</v>
      </c>
      <c r="AK24" s="115">
        <f>IFERROR(VLOOKUP(Table5[[#This Row],[HCPCS code 2019Q3]], ASP2019Q3[], 4, FALSE), "")</f>
        <v>5.7779999999999996</v>
      </c>
      <c r="AL24" s="72">
        <f>IFERROR(Table5[[#This Row],[Payment Limit 2019Q3]]/Table5[[#This Row],[HCPCS code dosage 2019Q3]], "")</f>
        <v>5.7779999999999996</v>
      </c>
      <c r="AM24" s="130" t="s">
        <v>365</v>
      </c>
      <c r="AN24" s="130" t="s">
        <v>1665</v>
      </c>
      <c r="AO24" s="130" t="s">
        <v>1470</v>
      </c>
      <c r="AP24" s="126">
        <f>IFERROR(VLOOKUP(Table5[[#This Row],[HCPCS code 2020Q1]], ASP2020Q1[], 4, FALSE), "")</f>
        <v>4.8940000000000001</v>
      </c>
      <c r="AQ24" s="77">
        <f>IFERROR(Table5[[#This Row],[Payment Limit 2020Q1]]/Table5[[#This Row],[HCPCS code dosage 2020Q1]], "")</f>
        <v>4.8940000000000001</v>
      </c>
      <c r="AR24" s="133" t="s">
        <v>365</v>
      </c>
      <c r="AS24" s="130" t="s">
        <v>1665</v>
      </c>
      <c r="AT24" s="130" t="s">
        <v>1470</v>
      </c>
      <c r="AU24" s="132">
        <f>IFERROR(VLOOKUP(Table5[[#This Row],[HCPCS code 2020Q3]], ASP2020Q3[], 4, FALSE), "")</f>
        <v>3.6680000000000001</v>
      </c>
      <c r="AV24" s="72">
        <f>IFERROR(Table5[[#This Row],[Payment limit 2020Q3]]/Table5[[#This Row],[HCPCS code dosage 2020Q3]],"")</f>
        <v>3.6680000000000001</v>
      </c>
      <c r="AW24" s="144" t="s">
        <v>365</v>
      </c>
      <c r="AX24" s="118" t="s">
        <v>1665</v>
      </c>
      <c r="AY24" s="144" t="s">
        <v>1470</v>
      </c>
      <c r="AZ24" s="144">
        <f>IFERROR(VLOOKUP(Table5[[#This Row],[HCPCS code 2021Q1]], ASP2021Q1[], 4, FALSE), "")</f>
        <v>2.13</v>
      </c>
      <c r="BA24" s="122">
        <f>IFERROR(Table5[[#This Row],[Payment limit 2021Q1]]/Table5[[#This Row],[HCPCS code dosage 2021Q1]], "")</f>
        <v>2.13</v>
      </c>
      <c r="BB24" s="147" t="s">
        <v>365</v>
      </c>
      <c r="BC24" s="118" t="s">
        <v>1665</v>
      </c>
      <c r="BD24" s="144" t="s">
        <v>1470</v>
      </c>
      <c r="BE24" s="144">
        <f>IFERROR(VLOOKUP(Table5[[#This Row],[HCPCS code 2021Q3]], ASP2021Q3[], 4, FALSE), "")</f>
        <v>1.9450000000000001</v>
      </c>
      <c r="BF24" s="122">
        <f>IFERROR(Table5[[#This Row],[Payment limit 2021Q3]]/Table5[[#This Row],[HCPCS code dosage 2021Q3]], "")</f>
        <v>1.9450000000000001</v>
      </c>
      <c r="BG24" s="147" t="s">
        <v>365</v>
      </c>
      <c r="BH24" s="118" t="s">
        <v>1665</v>
      </c>
      <c r="BI24" s="144" t="s">
        <v>1470</v>
      </c>
      <c r="BJ24" s="144">
        <f>IFERROR(VLOOKUP(Table5[[#This Row],[HCPCS code 2022Q1]], ASP2022Q1[], 4, FALSE), "")</f>
        <v>1.4510000000000001</v>
      </c>
      <c r="BK24" s="122">
        <f>IFERROR(Table5[[#This Row],[Payment limit 2022Q1]]/Table5[[#This Row],[HCPCS code dosage 2022Q1]], "")</f>
        <v>1.4510000000000001</v>
      </c>
      <c r="BL24" s="144" t="s">
        <v>365</v>
      </c>
      <c r="BM24" s="184">
        <v>1</v>
      </c>
      <c r="BN24" s="144" t="s">
        <v>1470</v>
      </c>
      <c r="BO24" s="144">
        <f>IFERROR(VLOOKUP(Table5[[#This Row],[HCPCS Code 2022Q3]], ASP2022Q3[], 4, FALSE), "")</f>
        <v>2.04</v>
      </c>
      <c r="BP24" s="122">
        <f>IFERROR(Table5[[#This Row],[Payment limit 2022Q3]]/Table5[[#This Row],[HCPCS code dosage 2022Q3]], "")</f>
        <v>2.04</v>
      </c>
      <c r="BQ24" s="144" t="s">
        <v>365</v>
      </c>
      <c r="BR24" s="118">
        <v>1</v>
      </c>
      <c r="BS24" s="144" t="s">
        <v>1470</v>
      </c>
      <c r="BT24" s="144">
        <v>1.149</v>
      </c>
      <c r="BU24" s="144">
        <f>IFERROR(Table5[[#This Row],[Payment limit 2023Q1]]/Table5[[#This Row],[HCPCS code dosage 2023Q1]], "")</f>
        <v>1.149</v>
      </c>
      <c r="BV24" s="79"/>
    </row>
    <row r="25" spans="1:74" x14ac:dyDescent="0.3">
      <c r="A25" s="62" t="s">
        <v>61</v>
      </c>
      <c r="B25" s="286" t="s">
        <v>1180</v>
      </c>
      <c r="C25" s="286">
        <v>1</v>
      </c>
      <c r="D25" s="307" t="s">
        <v>1470</v>
      </c>
      <c r="E25" s="292">
        <f>IFERROR(VLOOKUP(Table5[[#This Row],[HCPCS code 2016 Q1]], ASP2016Q1[], 4, FALSE), "")</f>
        <v>147.71700000000001</v>
      </c>
      <c r="F25" s="303">
        <f>IFERROR(Table5[[#This Row],[Payment Limit 2016Q1]]/Table5[[#This Row],[HCPCS code dosage 2016Q1]], "")</f>
        <v>147.71700000000001</v>
      </c>
      <c r="G25" s="286" t="s">
        <v>1180</v>
      </c>
      <c r="H25" s="286">
        <v>1</v>
      </c>
      <c r="I25" s="307" t="s">
        <v>1470</v>
      </c>
      <c r="J25" s="292">
        <f>IFERROR(VLOOKUP(Table5[[#This Row],[HCPCS code 2016 Q3]], ASP2016Q3[], 4, FALSE), "")</f>
        <v>150.113</v>
      </c>
      <c r="K25" s="303">
        <f>IFERROR(Table5[[#This Row],[Payment Limit 2016Q3]]/Table5[[#This Row],[HCPCS code dosage 2016Q3]], "")</f>
        <v>150.113</v>
      </c>
      <c r="L25" s="286" t="s">
        <v>1180</v>
      </c>
      <c r="M25" s="286">
        <v>1</v>
      </c>
      <c r="N25" s="307" t="s">
        <v>1470</v>
      </c>
      <c r="O25" s="291">
        <f>IFERROR(VLOOKUP(Table5[[#This Row],[HCPCS code 2017 Q1]], ASP2017Q1[], 4, FALSE), "")</f>
        <v>154.22200000000001</v>
      </c>
      <c r="P25" s="302">
        <f>IFERROR(Table5[[#This Row],[Payment Limit 2017Q1]]/Table5[[#This Row],[HCPCS code dosage 2017Q1]], "")</f>
        <v>154.22200000000001</v>
      </c>
      <c r="Q25" s="275" t="s">
        <v>1180</v>
      </c>
      <c r="R25" s="275">
        <v>1</v>
      </c>
      <c r="S25" s="275" t="s">
        <v>1470</v>
      </c>
      <c r="T25" s="279">
        <f>IFERROR(VLOOKUP(Table5[[#This Row],[HCPCS code 2017 Q3]], ASP2017Q3[], 4, FALSE), "")</f>
        <v>156.92099999999999</v>
      </c>
      <c r="U25" s="279">
        <f>IFERROR(Table5[[#This Row],[Payment Limit 2017Q3]]/Table5[[#This Row],[HCPCS code dosage 2017Q3]], "")</f>
        <v>156.92099999999999</v>
      </c>
      <c r="V25" s="374" t="s">
        <v>1180</v>
      </c>
      <c r="W25" s="377">
        <v>1</v>
      </c>
      <c r="X25" s="142" t="s">
        <v>1470</v>
      </c>
      <c r="Y25" s="279">
        <v>159.143</v>
      </c>
      <c r="Z25" s="370">
        <f>IFERROR(Table5[[#This Row],[Payment Limit 2018 Q1]]/Table5[[#This Row],[HCPCS code dosage 2018 Q1]],"")</f>
        <v>159.143</v>
      </c>
      <c r="AA25" s="374" t="s">
        <v>1180</v>
      </c>
      <c r="AB25" s="381">
        <v>1</v>
      </c>
      <c r="AC25" s="142" t="s">
        <v>1470</v>
      </c>
      <c r="AD25" s="378">
        <v>163.58600000000001</v>
      </c>
      <c r="AE25" s="370">
        <f>IFERROR(Table5[[#This Row],[Payment Limit 2018 Q3]]/Table5[[#This Row],[HCPCS code dosage 2018 Q3]],"")</f>
        <v>163.58600000000001</v>
      </c>
      <c r="AF25" s="275" t="s">
        <v>1180</v>
      </c>
      <c r="AG25" s="122">
        <v>168.31200000000001</v>
      </c>
      <c r="AH25" s="117" t="s">
        <v>1180</v>
      </c>
      <c r="AI25" s="118" t="s">
        <v>1665</v>
      </c>
      <c r="AJ25" s="118" t="s">
        <v>1470</v>
      </c>
      <c r="AK25" s="115">
        <f>IFERROR(VLOOKUP(Table5[[#This Row],[HCPCS code 2019Q3]], ASP2019Q3[], 4, FALSE), "")</f>
        <v>173.45599999999999</v>
      </c>
      <c r="AL25" s="72">
        <f>IFERROR(Table5[[#This Row],[Payment Limit 2019Q3]]/Table5[[#This Row],[HCPCS code dosage 2019Q3]], "")</f>
        <v>173.45599999999999</v>
      </c>
      <c r="AM25" s="130" t="s">
        <v>1180</v>
      </c>
      <c r="AN25" s="130" t="s">
        <v>1665</v>
      </c>
      <c r="AO25" s="130" t="s">
        <v>1470</v>
      </c>
      <c r="AP25" s="126">
        <f>IFERROR(VLOOKUP(Table5[[#This Row],[HCPCS code 2020Q1]], ASP2020Q1[], 4, FALSE), "")</f>
        <v>176.042</v>
      </c>
      <c r="AQ25" s="77">
        <f>IFERROR(Table5[[#This Row],[Payment Limit 2020Q1]]/Table5[[#This Row],[HCPCS code dosage 2020Q1]], "")</f>
        <v>176.042</v>
      </c>
      <c r="AR25" s="133" t="s">
        <v>1180</v>
      </c>
      <c r="AS25" s="130" t="s">
        <v>1665</v>
      </c>
      <c r="AT25" s="130" t="s">
        <v>1470</v>
      </c>
      <c r="AU25" s="132">
        <f>IFERROR(VLOOKUP(Table5[[#This Row],[HCPCS code 2020Q3]], ASP2020Q3[], 4, FALSE), "")</f>
        <v>181.47300000000001</v>
      </c>
      <c r="AV25" s="72">
        <f>IFERROR(Table5[[#This Row],[Payment limit 2020Q3]]/Table5[[#This Row],[HCPCS code dosage 2020Q3]],"")</f>
        <v>181.47300000000001</v>
      </c>
      <c r="AW25" s="144" t="s">
        <v>1180</v>
      </c>
      <c r="AX25" s="118" t="s">
        <v>1665</v>
      </c>
      <c r="AY25" s="144" t="s">
        <v>1470</v>
      </c>
      <c r="AZ25" s="144">
        <f>IFERROR(VLOOKUP(Table5[[#This Row],[HCPCS code 2021Q1]], ASP2021Q1[], 4, FALSE), "")</f>
        <v>184.846</v>
      </c>
      <c r="BA25" s="122">
        <f>IFERROR(Table5[[#This Row],[Payment limit 2021Q1]]/Table5[[#This Row],[HCPCS code dosage 2021Q1]], "")</f>
        <v>184.846</v>
      </c>
      <c r="BB25" s="147" t="s">
        <v>1180</v>
      </c>
      <c r="BC25" s="118" t="s">
        <v>1665</v>
      </c>
      <c r="BD25" s="144" t="s">
        <v>1470</v>
      </c>
      <c r="BE25" s="144">
        <f>IFERROR(VLOOKUP(Table5[[#This Row],[HCPCS code 2021Q3]], ASP2021Q3[], 4, FALSE), "")</f>
        <v>190.22200000000001</v>
      </c>
      <c r="BF25" s="122">
        <f>IFERROR(Table5[[#This Row],[Payment limit 2021Q3]]/Table5[[#This Row],[HCPCS code dosage 2021Q3]], "")</f>
        <v>190.22200000000001</v>
      </c>
      <c r="BG25" s="147" t="s">
        <v>1180</v>
      </c>
      <c r="BH25" s="118" t="s">
        <v>1665</v>
      </c>
      <c r="BI25" s="144" t="s">
        <v>1470</v>
      </c>
      <c r="BJ25" s="144">
        <f>IFERROR(VLOOKUP(Table5[[#This Row],[HCPCS code 2022Q1]], ASP2022Q1[], 4, FALSE), "")</f>
        <v>191.31100000000001</v>
      </c>
      <c r="BK25" s="122">
        <f>IFERROR(Table5[[#This Row],[Payment limit 2022Q1]]/Table5[[#This Row],[HCPCS code dosage 2022Q1]], "")</f>
        <v>191.31100000000001</v>
      </c>
      <c r="BL25" s="144" t="s">
        <v>1180</v>
      </c>
      <c r="BM25" s="184">
        <v>1</v>
      </c>
      <c r="BN25" s="144" t="s">
        <v>1470</v>
      </c>
      <c r="BO25" s="144">
        <f>IFERROR(VLOOKUP(Table5[[#This Row],[HCPCS Code 2022Q3]], ASP2022Q3[], 4, FALSE), "")</f>
        <v>196.60599999999999</v>
      </c>
      <c r="BP25" s="122">
        <f>IFERROR(Table5[[#This Row],[Payment limit 2022Q3]]/Table5[[#This Row],[HCPCS code dosage 2022Q3]], "")</f>
        <v>196.60599999999999</v>
      </c>
      <c r="BQ25" s="144" t="s">
        <v>1180</v>
      </c>
      <c r="BR25" s="118">
        <v>1</v>
      </c>
      <c r="BS25" s="144" t="s">
        <v>1470</v>
      </c>
      <c r="BT25" s="144">
        <v>199.209</v>
      </c>
      <c r="BU25" s="144">
        <f>IFERROR(Table5[[#This Row],[Payment limit 2023Q1]]/Table5[[#This Row],[HCPCS code dosage 2023Q1]], "")</f>
        <v>199.209</v>
      </c>
      <c r="BV25" s="79"/>
    </row>
    <row r="26" spans="1:74" x14ac:dyDescent="0.3">
      <c r="A26" s="62" t="s">
        <v>5</v>
      </c>
      <c r="B26" s="286" t="s">
        <v>1122</v>
      </c>
      <c r="C26" s="286">
        <v>500</v>
      </c>
      <c r="D26" s="307" t="s">
        <v>1470</v>
      </c>
      <c r="E26" s="292">
        <f>IFERROR(VLOOKUP(Table5[[#This Row],[HCPCS code 2016 Q1]], ASP2016Q1[], 4, FALSE), "")</f>
        <v>16.646999999999998</v>
      </c>
      <c r="F26" s="303">
        <f>IFERROR(Table5[[#This Row],[Payment Limit 2016Q1]]/Table5[[#This Row],[HCPCS code dosage 2016Q1]], "")</f>
        <v>3.3293999999999997E-2</v>
      </c>
      <c r="G26" s="286" t="s">
        <v>1122</v>
      </c>
      <c r="H26" s="286">
        <v>500</v>
      </c>
      <c r="I26" s="307" t="s">
        <v>1470</v>
      </c>
      <c r="J26" s="292">
        <f>IFERROR(VLOOKUP(Table5[[#This Row],[HCPCS code 2016 Q3]], ASP2016Q3[], 4, FALSE), "")</f>
        <v>14.757</v>
      </c>
      <c r="K26" s="303">
        <f>IFERROR(Table5[[#This Row],[Payment Limit 2016Q3]]/Table5[[#This Row],[HCPCS code dosage 2016Q3]], "")</f>
        <v>2.9513999999999999E-2</v>
      </c>
      <c r="L26" s="286" t="s">
        <v>1122</v>
      </c>
      <c r="M26" s="286">
        <v>500</v>
      </c>
      <c r="N26" s="307" t="s">
        <v>1470</v>
      </c>
      <c r="O26" s="291">
        <f>IFERROR(VLOOKUP(Table5[[#This Row],[HCPCS code 2017 Q1]], ASP2017Q1[], 4, FALSE), "")</f>
        <v>11.853999999999999</v>
      </c>
      <c r="P26" s="302">
        <f>IFERROR(Table5[[#This Row],[Payment Limit 2017Q1]]/Table5[[#This Row],[HCPCS code dosage 2017Q1]], "")</f>
        <v>2.3708E-2</v>
      </c>
      <c r="Q26" s="277" t="s">
        <v>1122</v>
      </c>
      <c r="R26" s="277">
        <v>500</v>
      </c>
      <c r="S26" s="277" t="s">
        <v>1470</v>
      </c>
      <c r="T26" s="279">
        <f>IFERROR(VLOOKUP(Table5[[#This Row],[HCPCS code 2017 Q3]], ASP2017Q3[], 4, FALSE), "")</f>
        <v>7.9829999999999997</v>
      </c>
      <c r="U26" s="279">
        <f>IFERROR(Table5[[#This Row],[Payment Limit 2017Q3]]/Table5[[#This Row],[HCPCS code dosage 2017Q3]], "")</f>
        <v>1.5966000000000001E-2</v>
      </c>
      <c r="V26" s="375" t="s">
        <v>1122</v>
      </c>
      <c r="W26" s="413">
        <v>500</v>
      </c>
      <c r="X26" s="278" t="s">
        <v>1470</v>
      </c>
      <c r="Y26" s="414">
        <v>5.7430000000000003</v>
      </c>
      <c r="Z26" s="370">
        <f>IFERROR(Table5[[#This Row],[Payment Limit 2018 Q1]]/Table5[[#This Row],[HCPCS code dosage 2018 Q1]],"")</f>
        <v>1.1486000000000001E-2</v>
      </c>
      <c r="AA26" s="142" t="s">
        <v>1122</v>
      </c>
      <c r="AB26" s="381">
        <v>500</v>
      </c>
      <c r="AC26" s="142" t="s">
        <v>1470</v>
      </c>
      <c r="AD26" s="514">
        <v>5.36</v>
      </c>
      <c r="AE26" s="370">
        <f>IFERROR(Table5[[#This Row],[Payment Limit 2018 Q3]]/Table5[[#This Row],[HCPCS code dosage 2018 Q3]],"")</f>
        <v>1.072E-2</v>
      </c>
      <c r="AF26" s="275" t="s">
        <v>1122</v>
      </c>
      <c r="AG26" s="72">
        <v>7.3479999999999995E-3</v>
      </c>
      <c r="AH26" s="117" t="s">
        <v>1122</v>
      </c>
      <c r="AI26" s="118" t="s">
        <v>1668</v>
      </c>
      <c r="AJ26" s="118" t="s">
        <v>1470</v>
      </c>
      <c r="AK26" s="115">
        <f>IFERROR(VLOOKUP(Table5[[#This Row],[HCPCS code 2019Q3]], ASP2019Q3[], 4, FALSE), "")</f>
        <v>3.6440000000000001</v>
      </c>
      <c r="AL26" s="72">
        <f>IFERROR(Table5[[#This Row],[Payment Limit 2019Q3]]/Table5[[#This Row],[HCPCS code dosage 2019Q3]], "")</f>
        <v>7.2880000000000002E-3</v>
      </c>
      <c r="AM26" s="130" t="s">
        <v>1122</v>
      </c>
      <c r="AN26" s="130" t="s">
        <v>1668</v>
      </c>
      <c r="AO26" s="130" t="s">
        <v>1470</v>
      </c>
      <c r="AP26" s="126">
        <f>IFERROR(VLOOKUP(Table5[[#This Row],[HCPCS code 2020Q1]], ASP2020Q1[], 4, FALSE), "")</f>
        <v>2.7290000000000001</v>
      </c>
      <c r="AQ26" s="77">
        <f>IFERROR(Table5[[#This Row],[Payment Limit 2020Q1]]/Table5[[#This Row],[HCPCS code dosage 2020Q1]], "")</f>
        <v>5.4580000000000002E-3</v>
      </c>
      <c r="AR26" s="133" t="s">
        <v>1122</v>
      </c>
      <c r="AS26" s="130" t="s">
        <v>1668</v>
      </c>
      <c r="AT26" s="130" t="s">
        <v>1470</v>
      </c>
      <c r="AU26" s="132">
        <f>IFERROR(VLOOKUP(Table5[[#This Row],[HCPCS code 2020Q3]], ASP2020Q3[], 4, FALSE), "")</f>
        <v>2.1339999999999999</v>
      </c>
      <c r="AV26" s="72">
        <f>IFERROR(Table5[[#This Row],[Payment limit 2020Q3]]/Table5[[#This Row],[HCPCS code dosage 2020Q3]],"")</f>
        <v>4.2680000000000001E-3</v>
      </c>
      <c r="AW26" s="144" t="s">
        <v>1122</v>
      </c>
      <c r="AX26" s="118" t="s">
        <v>1668</v>
      </c>
      <c r="AY26" s="144" t="s">
        <v>1470</v>
      </c>
      <c r="AZ26" s="144">
        <f>IFERROR(VLOOKUP(Table5[[#This Row],[HCPCS code 2021Q1]], ASP2021Q1[], 4, FALSE), "")</f>
        <v>2.4729999999999999</v>
      </c>
      <c r="BA26" s="122">
        <f>IFERROR(Table5[[#This Row],[Payment limit 2021Q1]]/Table5[[#This Row],[HCPCS code dosage 2021Q1]], "")</f>
        <v>4.9459999999999999E-3</v>
      </c>
      <c r="BB26" s="147" t="s">
        <v>1122</v>
      </c>
      <c r="BC26" s="118" t="s">
        <v>1668</v>
      </c>
      <c r="BD26" s="144" t="s">
        <v>1470</v>
      </c>
      <c r="BE26" s="144">
        <f>IFERROR(VLOOKUP(Table5[[#This Row],[HCPCS code 2021Q3]], ASP2021Q3[], 4, FALSE), "")</f>
        <v>2.734</v>
      </c>
      <c r="BF26" s="122">
        <f>IFERROR(Table5[[#This Row],[Payment limit 2021Q3]]/Table5[[#This Row],[HCPCS code dosage 2021Q3]], "")</f>
        <v>5.4679999999999998E-3</v>
      </c>
      <c r="BG26" s="147" t="s">
        <v>1122</v>
      </c>
      <c r="BH26" s="118" t="s">
        <v>1668</v>
      </c>
      <c r="BI26" s="144" t="s">
        <v>1470</v>
      </c>
      <c r="BJ26" s="144">
        <f>IFERROR(VLOOKUP(Table5[[#This Row],[HCPCS code 2022Q1]], ASP2022Q1[], 4, FALSE), "")</f>
        <v>0.84299999999999997</v>
      </c>
      <c r="BK26" s="122">
        <f>IFERROR(Table5[[#This Row],[Payment limit 2022Q1]]/Table5[[#This Row],[HCPCS code dosage 2022Q1]], "")</f>
        <v>1.686E-3</v>
      </c>
      <c r="BL26" s="144" t="s">
        <v>1122</v>
      </c>
      <c r="BM26" s="184">
        <v>500</v>
      </c>
      <c r="BN26" s="144" t="s">
        <v>1470</v>
      </c>
      <c r="BO26" s="144">
        <f>IFERROR(VLOOKUP(Table5[[#This Row],[HCPCS Code 2022Q3]], ASP2022Q3[], 4, FALSE), "")</f>
        <v>0.80500000000000005</v>
      </c>
      <c r="BP26" s="122">
        <f>IFERROR(Table5[[#This Row],[Payment limit 2022Q3]]/Table5[[#This Row],[HCPCS code dosage 2022Q3]], "")</f>
        <v>1.6100000000000001E-3</v>
      </c>
      <c r="BQ26" s="144" t="s">
        <v>1122</v>
      </c>
      <c r="BR26" s="118">
        <v>500</v>
      </c>
      <c r="BS26" s="144" t="s">
        <v>1470</v>
      </c>
      <c r="BT26" s="144">
        <v>1.3939999999999999</v>
      </c>
      <c r="BU26" s="144">
        <f>IFERROR(Table5[[#This Row],[Payment limit 2023Q1]]/Table5[[#This Row],[HCPCS code dosage 2023Q1]], "")</f>
        <v>2.7879999999999997E-3</v>
      </c>
      <c r="BV26" s="79"/>
    </row>
    <row r="27" spans="1:74" x14ac:dyDescent="0.3">
      <c r="A27" s="62" t="s">
        <v>1647</v>
      </c>
      <c r="B27" s="286" t="s">
        <v>1184</v>
      </c>
      <c r="C27" s="286">
        <v>0.51413881748071977</v>
      </c>
      <c r="D27" s="307" t="s">
        <v>1663</v>
      </c>
      <c r="E27" s="292">
        <f>IFERROR(VLOOKUP(Table5[[#This Row],[HCPCS code 2016 Q1]], ASP2016Q1[], 4, FALSE), "")</f>
        <v>3.6309999999999998</v>
      </c>
      <c r="F27" s="303">
        <f>IFERROR(Table5[[#This Row],[Payment Limit 2016Q1]]/Table5[[#This Row],[HCPCS code dosage 2016Q1]], "")</f>
        <v>7.0622949999999998</v>
      </c>
      <c r="G27" s="286" t="s">
        <v>1184</v>
      </c>
      <c r="H27" s="286">
        <v>0.51413881748071977</v>
      </c>
      <c r="I27" s="307" t="s">
        <v>1663</v>
      </c>
      <c r="J27" s="292">
        <f>IFERROR(VLOOKUP(Table5[[#This Row],[HCPCS code 2016 Q3]], ASP2016Q3[], 4, FALSE), "")</f>
        <v>3.6230000000000002</v>
      </c>
      <c r="K27" s="303">
        <f>IFERROR(Table5[[#This Row],[Payment Limit 2016Q3]]/Table5[[#This Row],[HCPCS code dosage 2016Q3]], "")</f>
        <v>7.0467350000000009</v>
      </c>
      <c r="L27" s="286" t="s">
        <v>1184</v>
      </c>
      <c r="M27" s="286">
        <v>0.51413881748071977</v>
      </c>
      <c r="N27" s="307" t="s">
        <v>1663</v>
      </c>
      <c r="O27" s="291">
        <f>IFERROR(VLOOKUP(Table5[[#This Row],[HCPCS code 2017 Q1]], ASP2017Q1[], 4, FALSE), "")</f>
        <v>3.6230000000000002</v>
      </c>
      <c r="P27" s="302">
        <f>IFERROR(Table5[[#This Row],[Payment Limit 2017Q1]]/Table5[[#This Row],[HCPCS code dosage 2017Q1]], "")</f>
        <v>7.0467350000000009</v>
      </c>
      <c r="Q27" s="275" t="s">
        <v>1184</v>
      </c>
      <c r="R27" s="275">
        <v>0.51413881748071977</v>
      </c>
      <c r="S27" s="275" t="s">
        <v>1663</v>
      </c>
      <c r="T27" s="279">
        <f>IFERROR(VLOOKUP(Table5[[#This Row],[HCPCS code 2017 Q3]], ASP2017Q3[], 4, FALSE), "")</f>
        <v>3.4129999999999998</v>
      </c>
      <c r="U27" s="279">
        <f>IFERROR(Table5[[#This Row],[Payment Limit 2017Q3]]/Table5[[#This Row],[HCPCS code dosage 2017Q3]], "")</f>
        <v>6.6382849999999998</v>
      </c>
      <c r="V27" s="374" t="s">
        <v>1184</v>
      </c>
      <c r="W27" s="377">
        <v>0.51413881748071977</v>
      </c>
      <c r="X27" s="142" t="s">
        <v>1663</v>
      </c>
      <c r="Y27" s="279">
        <v>3.2</v>
      </c>
      <c r="Z27" s="370">
        <f>IFERROR(Table5[[#This Row],[Payment Limit 2018 Q1]]/Table5[[#This Row],[HCPCS code dosage 2018 Q1]],"")</f>
        <v>6.2240000000000011</v>
      </c>
      <c r="AA27" s="374" t="s">
        <v>1184</v>
      </c>
      <c r="AB27" s="381">
        <v>0.51413881748071977</v>
      </c>
      <c r="AC27" s="142" t="s">
        <v>1663</v>
      </c>
      <c r="AD27" s="378">
        <v>3.242</v>
      </c>
      <c r="AE27" s="370">
        <f>IFERROR(Table5[[#This Row],[Payment Limit 2018 Q3]]/Table5[[#This Row],[HCPCS code dosage 2018 Q3]],"")</f>
        <v>6.3056900000000002</v>
      </c>
      <c r="AF27" s="275" t="s">
        <v>1184</v>
      </c>
      <c r="AG27" s="122">
        <v>6.3251400000000002</v>
      </c>
      <c r="AH27" s="117" t="s">
        <v>1184</v>
      </c>
      <c r="AI27" s="118">
        <v>0.51413881748071977</v>
      </c>
      <c r="AJ27" s="118" t="s">
        <v>1663</v>
      </c>
      <c r="AK27" s="115">
        <f>IFERROR(VLOOKUP(Table5[[#This Row],[HCPCS code 2019Q3]], ASP2019Q3[], 4, FALSE), "")</f>
        <v>2.89</v>
      </c>
      <c r="AL27" s="72">
        <f>IFERROR(Table5[[#This Row],[Payment Limit 2019Q3]]/Table5[[#This Row],[HCPCS code dosage 2019Q3]], "")</f>
        <v>5.6210500000000003</v>
      </c>
      <c r="AM27" s="130" t="s">
        <v>1184</v>
      </c>
      <c r="AN27" s="130">
        <v>0.51413881748071977</v>
      </c>
      <c r="AO27" s="130" t="s">
        <v>1663</v>
      </c>
      <c r="AP27" s="126">
        <f>IFERROR(VLOOKUP(Table5[[#This Row],[HCPCS code 2020Q1]], ASP2020Q1[], 4, FALSE), "")</f>
        <v>2.6890000000000001</v>
      </c>
      <c r="AQ27" s="77">
        <f>IFERROR(Table5[[#This Row],[Payment Limit 2020Q1]]/Table5[[#This Row],[HCPCS code dosage 2020Q1]], "")</f>
        <v>5.230105</v>
      </c>
      <c r="AR27" s="133" t="s">
        <v>1184</v>
      </c>
      <c r="AS27" s="130">
        <v>0.51413881748071977</v>
      </c>
      <c r="AT27" s="130" t="s">
        <v>1663</v>
      </c>
      <c r="AU27" s="132">
        <f>IFERROR(VLOOKUP(Table5[[#This Row],[HCPCS code 2020Q3]], ASP2020Q3[], 4, FALSE), "")</f>
        <v>2.8570000000000002</v>
      </c>
      <c r="AV27" s="72">
        <f>IFERROR(Table5[[#This Row],[Payment limit 2020Q3]]/Table5[[#This Row],[HCPCS code dosage 2020Q3]],"")</f>
        <v>5.5568650000000011</v>
      </c>
      <c r="AW27" s="144" t="s">
        <v>1184</v>
      </c>
      <c r="AX27" s="118">
        <v>0.51413881748071977</v>
      </c>
      <c r="AY27" s="144" t="s">
        <v>1663</v>
      </c>
      <c r="AZ27" s="144">
        <f>IFERROR(VLOOKUP(Table5[[#This Row],[HCPCS code 2021Q1]], ASP2021Q1[], 4, FALSE), "")</f>
        <v>2.68</v>
      </c>
      <c r="BA27" s="122">
        <f>IFERROR(Table5[[#This Row],[Payment limit 2021Q1]]/Table5[[#This Row],[HCPCS code dosage 2021Q1]], "")</f>
        <v>5.212600000000001</v>
      </c>
      <c r="BB27" s="147" t="s">
        <v>1184</v>
      </c>
      <c r="BC27" s="118">
        <v>0.51413881748071977</v>
      </c>
      <c r="BD27" s="144" t="s">
        <v>1663</v>
      </c>
      <c r="BE27" s="144">
        <f>IFERROR(VLOOKUP(Table5[[#This Row],[HCPCS code 2021Q3]], ASP2021Q3[], 4, FALSE), "")</f>
        <v>2.4790000000000001</v>
      </c>
      <c r="BF27" s="122">
        <f>IFERROR(Table5[[#This Row],[Payment limit 2021Q3]]/Table5[[#This Row],[HCPCS code dosage 2021Q3]], "")</f>
        <v>4.8216550000000007</v>
      </c>
      <c r="BG27" s="147" t="s">
        <v>1184</v>
      </c>
      <c r="BH27" s="118">
        <v>0.51413881748071977</v>
      </c>
      <c r="BI27" s="144" t="s">
        <v>1663</v>
      </c>
      <c r="BJ27" s="144">
        <f>IFERROR(VLOOKUP(Table5[[#This Row],[HCPCS code 2022Q1]], ASP2022Q1[], 4, FALSE), "")</f>
        <v>2.6080000000000001</v>
      </c>
      <c r="BK27" s="122">
        <f>IFERROR(Table5[[#This Row],[Payment limit 2022Q1]]/Table5[[#This Row],[HCPCS code dosage 2022Q1]], "")</f>
        <v>5.0725600000000002</v>
      </c>
      <c r="BL27" s="144" t="s">
        <v>1184</v>
      </c>
      <c r="BM27" s="184">
        <v>0.51413881748071977</v>
      </c>
      <c r="BN27" s="144" t="s">
        <v>1663</v>
      </c>
      <c r="BO27" s="144">
        <f>IFERROR(VLOOKUP(Table5[[#This Row],[HCPCS Code 2022Q3]], ASP2022Q3[], 4, FALSE), "")</f>
        <v>2.9220000000000002</v>
      </c>
      <c r="BP27" s="122">
        <f>IFERROR(Table5[[#This Row],[Payment limit 2022Q3]]/Table5[[#This Row],[HCPCS code dosage 2022Q3]], "")</f>
        <v>5.6832900000000004</v>
      </c>
      <c r="BQ27" s="144" t="s">
        <v>1184</v>
      </c>
      <c r="BR27" s="118">
        <v>50</v>
      </c>
      <c r="BS27" s="144" t="s">
        <v>1470</v>
      </c>
      <c r="BT27" s="144">
        <v>2.4830000000000001</v>
      </c>
      <c r="BU27" s="144">
        <f>IFERROR(Table5[[#This Row],[Payment limit 2023Q1]]/Table5[[#This Row],[HCPCS code dosage 2023Q1]], "")</f>
        <v>4.9660000000000003E-2</v>
      </c>
      <c r="BV27" s="79"/>
    </row>
    <row r="28" spans="1:74" x14ac:dyDescent="0.3">
      <c r="A28" s="62" t="s">
        <v>25</v>
      </c>
      <c r="B28" s="286" t="s">
        <v>1184</v>
      </c>
      <c r="C28" s="286">
        <v>0.51413881748071977</v>
      </c>
      <c r="D28" s="307" t="s">
        <v>1663</v>
      </c>
      <c r="E28" s="292">
        <f>IFERROR(VLOOKUP(Table5[[#This Row],[HCPCS code 2016 Q1]], ASP2016Q1[], 4, FALSE), "")</f>
        <v>3.6309999999999998</v>
      </c>
      <c r="F28" s="303">
        <f>IFERROR(Table5[[#This Row],[Payment Limit 2016Q1]]/Table5[[#This Row],[HCPCS code dosage 2016Q1]], "")</f>
        <v>7.0622949999999998</v>
      </c>
      <c r="G28" s="286" t="s">
        <v>1184</v>
      </c>
      <c r="H28" s="286">
        <v>0.51413881748071977</v>
      </c>
      <c r="I28" s="307" t="s">
        <v>1663</v>
      </c>
      <c r="J28" s="292">
        <f>IFERROR(VLOOKUP(Table5[[#This Row],[HCPCS code 2016 Q3]], ASP2016Q3[], 4, FALSE), "")</f>
        <v>3.6230000000000002</v>
      </c>
      <c r="K28" s="303">
        <f>IFERROR(Table5[[#This Row],[Payment Limit 2016Q3]]/Table5[[#This Row],[HCPCS code dosage 2016Q3]], "")</f>
        <v>7.0467350000000009</v>
      </c>
      <c r="L28" s="286" t="s">
        <v>1184</v>
      </c>
      <c r="M28" s="286">
        <v>0.51413881748071977</v>
      </c>
      <c r="N28" s="307" t="s">
        <v>1663</v>
      </c>
      <c r="O28" s="291">
        <f>IFERROR(VLOOKUP(Table5[[#This Row],[HCPCS code 2017 Q1]], ASP2017Q1[], 4, FALSE), "")</f>
        <v>3.6230000000000002</v>
      </c>
      <c r="P28" s="302">
        <f>IFERROR(Table5[[#This Row],[Payment Limit 2017Q1]]/Table5[[#This Row],[HCPCS code dosage 2017Q1]], "")</f>
        <v>7.0467350000000009</v>
      </c>
      <c r="Q28" s="275" t="s">
        <v>1184</v>
      </c>
      <c r="R28" s="275">
        <v>0.51413881748071977</v>
      </c>
      <c r="S28" s="275" t="s">
        <v>1663</v>
      </c>
      <c r="T28" s="279">
        <f>IFERROR(VLOOKUP(Table5[[#This Row],[HCPCS code 2017 Q3]], ASP2017Q3[], 4, FALSE), "")</f>
        <v>3.4129999999999998</v>
      </c>
      <c r="U28" s="279">
        <f>IFERROR(Table5[[#This Row],[Payment Limit 2017Q3]]/Table5[[#This Row],[HCPCS code dosage 2017Q3]], "")</f>
        <v>6.6382849999999998</v>
      </c>
      <c r="V28" s="374" t="s">
        <v>1184</v>
      </c>
      <c r="W28" s="377">
        <v>0.51413881748071977</v>
      </c>
      <c r="X28" s="142" t="s">
        <v>1663</v>
      </c>
      <c r="Y28" s="279">
        <v>3.2</v>
      </c>
      <c r="Z28" s="370">
        <f>IFERROR(Table5[[#This Row],[Payment Limit 2018 Q1]]/Table5[[#This Row],[HCPCS code dosage 2018 Q1]],"")</f>
        <v>6.2240000000000011</v>
      </c>
      <c r="AA28" s="374" t="s">
        <v>1184</v>
      </c>
      <c r="AB28" s="381">
        <v>0.51413881748071977</v>
      </c>
      <c r="AC28" s="142" t="s">
        <v>1663</v>
      </c>
      <c r="AD28" s="378">
        <v>3.242</v>
      </c>
      <c r="AE28" s="370">
        <f>IFERROR(Table5[[#This Row],[Payment Limit 2018 Q3]]/Table5[[#This Row],[HCPCS code dosage 2018 Q3]],"")</f>
        <v>6.3056900000000002</v>
      </c>
      <c r="AF28" s="275" t="s">
        <v>1184</v>
      </c>
      <c r="AG28" s="122">
        <v>6.3251400000000002</v>
      </c>
      <c r="AH28" s="117" t="s">
        <v>1184</v>
      </c>
      <c r="AI28" s="118">
        <v>0.51413881748071977</v>
      </c>
      <c r="AJ28" s="118" t="s">
        <v>1663</v>
      </c>
      <c r="AK28" s="115">
        <f>IFERROR(VLOOKUP(Table5[[#This Row],[HCPCS code 2019Q3]], ASP2019Q3[], 4, FALSE), "")</f>
        <v>2.89</v>
      </c>
      <c r="AL28" s="72">
        <f>IFERROR(Table5[[#This Row],[Payment Limit 2019Q3]]/Table5[[#This Row],[HCPCS code dosage 2019Q3]], "")</f>
        <v>5.6210500000000003</v>
      </c>
      <c r="AM28" s="130" t="s">
        <v>1184</v>
      </c>
      <c r="AN28" s="130">
        <v>0.51413881748071977</v>
      </c>
      <c r="AO28" s="130" t="s">
        <v>1663</v>
      </c>
      <c r="AP28" s="126">
        <f>IFERROR(VLOOKUP(Table5[[#This Row],[HCPCS code 2020Q1]], ASP2020Q1[], 4, FALSE), "")</f>
        <v>2.6890000000000001</v>
      </c>
      <c r="AQ28" s="77">
        <f>IFERROR(Table5[[#This Row],[Payment Limit 2020Q1]]/Table5[[#This Row],[HCPCS code dosage 2020Q1]], "")</f>
        <v>5.230105</v>
      </c>
      <c r="AR28" s="133" t="s">
        <v>1184</v>
      </c>
      <c r="AS28" s="130">
        <v>0.51413881748071977</v>
      </c>
      <c r="AT28" s="130" t="s">
        <v>1663</v>
      </c>
      <c r="AU28" s="132">
        <f>IFERROR(VLOOKUP(Table5[[#This Row],[HCPCS code 2020Q3]], ASP2020Q3[], 4, FALSE), "")</f>
        <v>2.8570000000000002</v>
      </c>
      <c r="AV28" s="72">
        <f>IFERROR(Table5[[#This Row],[Payment limit 2020Q3]]/Table5[[#This Row],[HCPCS code dosage 2020Q3]],"")</f>
        <v>5.5568650000000011</v>
      </c>
      <c r="AW28" s="144" t="s">
        <v>1184</v>
      </c>
      <c r="AX28" s="118">
        <v>0.51413881748071977</v>
      </c>
      <c r="AY28" s="144" t="s">
        <v>1663</v>
      </c>
      <c r="AZ28" s="144">
        <f>IFERROR(VLOOKUP(Table5[[#This Row],[HCPCS code 2021Q1]], ASP2021Q1[], 4, FALSE), "")</f>
        <v>2.68</v>
      </c>
      <c r="BA28" s="122">
        <f>IFERROR(Table5[[#This Row],[Payment limit 2021Q1]]/Table5[[#This Row],[HCPCS code dosage 2021Q1]], "")</f>
        <v>5.212600000000001</v>
      </c>
      <c r="BB28" s="147" t="s">
        <v>1184</v>
      </c>
      <c r="BC28" s="118">
        <v>0.51413881748071977</v>
      </c>
      <c r="BD28" s="144" t="s">
        <v>1663</v>
      </c>
      <c r="BE28" s="144">
        <f>IFERROR(VLOOKUP(Table5[[#This Row],[HCPCS code 2021Q3]], ASP2021Q3[], 4, FALSE), "")</f>
        <v>2.4790000000000001</v>
      </c>
      <c r="BF28" s="122">
        <f>IFERROR(Table5[[#This Row],[Payment limit 2021Q3]]/Table5[[#This Row],[HCPCS code dosage 2021Q3]], "")</f>
        <v>4.8216550000000007</v>
      </c>
      <c r="BG28" s="147" t="s">
        <v>1184</v>
      </c>
      <c r="BH28" s="118">
        <v>0.51413881748071977</v>
      </c>
      <c r="BI28" s="144" t="s">
        <v>1663</v>
      </c>
      <c r="BJ28" s="144">
        <f>IFERROR(VLOOKUP(Table5[[#This Row],[HCPCS code 2022Q1]], ASP2022Q1[], 4, FALSE), "")</f>
        <v>2.6080000000000001</v>
      </c>
      <c r="BK28" s="122">
        <f>IFERROR(Table5[[#This Row],[Payment limit 2022Q1]]/Table5[[#This Row],[HCPCS code dosage 2022Q1]], "")</f>
        <v>5.0725600000000002</v>
      </c>
      <c r="BL28" s="144" t="s">
        <v>1184</v>
      </c>
      <c r="BM28" s="184">
        <v>0.51413881748071977</v>
      </c>
      <c r="BN28" s="144" t="s">
        <v>1663</v>
      </c>
      <c r="BO28" s="144">
        <f>IFERROR(VLOOKUP(Table5[[#This Row],[HCPCS Code 2022Q3]], ASP2022Q3[], 4, FALSE), "")</f>
        <v>2.9220000000000002</v>
      </c>
      <c r="BP28" s="122">
        <f>IFERROR(Table5[[#This Row],[Payment limit 2022Q3]]/Table5[[#This Row],[HCPCS code dosage 2022Q3]], "")</f>
        <v>5.6832900000000004</v>
      </c>
      <c r="BQ28" s="144" t="s">
        <v>1184</v>
      </c>
      <c r="BR28" s="118">
        <v>50</v>
      </c>
      <c r="BS28" s="144" t="s">
        <v>1470</v>
      </c>
      <c r="BT28" s="144">
        <v>2.4830000000000001</v>
      </c>
      <c r="BU28" s="144">
        <f>IFERROR(Table5[[#This Row],[Payment limit 2023Q1]]/Table5[[#This Row],[HCPCS code dosage 2023Q1]], "")</f>
        <v>4.9660000000000003E-2</v>
      </c>
      <c r="BV28" s="79"/>
    </row>
    <row r="29" spans="1:74" x14ac:dyDescent="0.3">
      <c r="A29" s="62" t="s">
        <v>121</v>
      </c>
      <c r="B29" s="286" t="s">
        <v>1186</v>
      </c>
      <c r="C29" s="286">
        <v>1</v>
      </c>
      <c r="D29" s="307" t="s">
        <v>1470</v>
      </c>
      <c r="E29" s="292">
        <f>IFERROR(VLOOKUP(Table5[[#This Row],[HCPCS code 2016 Q1]], ASP2016Q1[], 4, FALSE), "")</f>
        <v>30.88</v>
      </c>
      <c r="F29" s="303">
        <f>IFERROR(Table5[[#This Row],[Payment Limit 2016Q1]]/Table5[[#This Row],[HCPCS code dosage 2016Q1]], "")</f>
        <v>30.88</v>
      </c>
      <c r="G29" s="286" t="s">
        <v>1186</v>
      </c>
      <c r="H29" s="286">
        <v>1</v>
      </c>
      <c r="I29" s="307" t="s">
        <v>1470</v>
      </c>
      <c r="J29" s="292">
        <f>IFERROR(VLOOKUP(Table5[[#This Row],[HCPCS code 2016 Q3]], ASP2016Q3[], 4, FALSE), "")</f>
        <v>31.792000000000002</v>
      </c>
      <c r="K29" s="303">
        <f>IFERROR(Table5[[#This Row],[Payment Limit 2016Q3]]/Table5[[#This Row],[HCPCS code dosage 2016Q3]], "")</f>
        <v>31.792000000000002</v>
      </c>
      <c r="L29" s="286" t="s">
        <v>1186</v>
      </c>
      <c r="M29" s="286">
        <v>1</v>
      </c>
      <c r="N29" s="307" t="s">
        <v>1470</v>
      </c>
      <c r="O29" s="291">
        <f>IFERROR(VLOOKUP(Table5[[#This Row],[HCPCS code 2017 Q1]], ASP2017Q1[], 4, FALSE), "")</f>
        <v>31.812000000000001</v>
      </c>
      <c r="P29" s="302">
        <f>IFERROR(Table5[[#This Row],[Payment Limit 2017Q1]]/Table5[[#This Row],[HCPCS code dosage 2017Q1]], "")</f>
        <v>31.812000000000001</v>
      </c>
      <c r="Q29" s="275" t="s">
        <v>1186</v>
      </c>
      <c r="R29" s="275">
        <v>1</v>
      </c>
      <c r="S29" s="275" t="s">
        <v>1470</v>
      </c>
      <c r="T29" s="279">
        <f>IFERROR(VLOOKUP(Table5[[#This Row],[HCPCS code 2017 Q3]], ASP2017Q3[], 4, FALSE), "")</f>
        <v>32.139000000000003</v>
      </c>
      <c r="U29" s="279">
        <f>IFERROR(Table5[[#This Row],[Payment Limit 2017Q3]]/Table5[[#This Row],[HCPCS code dosage 2017Q3]], "")</f>
        <v>32.139000000000003</v>
      </c>
      <c r="V29" s="374" t="s">
        <v>1186</v>
      </c>
      <c r="W29" s="377">
        <v>1</v>
      </c>
      <c r="X29" s="142" t="s">
        <v>1470</v>
      </c>
      <c r="Y29" s="279">
        <v>33.183</v>
      </c>
      <c r="Z29" s="370">
        <f>IFERROR(Table5[[#This Row],[Payment Limit 2018 Q1]]/Table5[[#This Row],[HCPCS code dosage 2018 Q1]],"")</f>
        <v>33.183</v>
      </c>
      <c r="AA29" s="374" t="s">
        <v>1186</v>
      </c>
      <c r="AB29" s="381">
        <v>1</v>
      </c>
      <c r="AC29" s="142" t="s">
        <v>1470</v>
      </c>
      <c r="AD29" s="378">
        <v>35.194000000000003</v>
      </c>
      <c r="AE29" s="370">
        <f>IFERROR(Table5[[#This Row],[Payment Limit 2018 Q3]]/Table5[[#This Row],[HCPCS code dosage 2018 Q3]],"")</f>
        <v>35.194000000000003</v>
      </c>
      <c r="AF29" s="275" t="s">
        <v>1186</v>
      </c>
      <c r="AG29" s="122">
        <v>36.299999999999997</v>
      </c>
      <c r="AH29" s="117" t="s">
        <v>1186</v>
      </c>
      <c r="AI29" s="118" t="s">
        <v>1665</v>
      </c>
      <c r="AJ29" s="118" t="s">
        <v>1470</v>
      </c>
      <c r="AK29" s="115">
        <f>IFERROR(VLOOKUP(Table5[[#This Row],[HCPCS code 2019Q3]], ASP2019Q3[], 4, FALSE), "")</f>
        <v>37.247999999999998</v>
      </c>
      <c r="AL29" s="72">
        <f>IFERROR(Table5[[#This Row],[Payment Limit 2019Q3]]/Table5[[#This Row],[HCPCS code dosage 2019Q3]], "")</f>
        <v>37.247999999999998</v>
      </c>
      <c r="AM29" s="130" t="s">
        <v>1186</v>
      </c>
      <c r="AN29" s="130" t="s">
        <v>1665</v>
      </c>
      <c r="AO29" s="130" t="s">
        <v>1470</v>
      </c>
      <c r="AP29" s="126">
        <f>IFERROR(VLOOKUP(Table5[[#This Row],[HCPCS code 2020Q1]], ASP2020Q1[], 4, FALSE), "")</f>
        <v>37.54</v>
      </c>
      <c r="AQ29" s="77">
        <f>IFERROR(Table5[[#This Row],[Payment Limit 2020Q1]]/Table5[[#This Row],[HCPCS code dosage 2020Q1]], "")</f>
        <v>37.54</v>
      </c>
      <c r="AR29" s="133" t="s">
        <v>1186</v>
      </c>
      <c r="AS29" s="130" t="s">
        <v>1665</v>
      </c>
      <c r="AT29" s="130" t="s">
        <v>1470</v>
      </c>
      <c r="AU29" s="132">
        <f>IFERROR(VLOOKUP(Table5[[#This Row],[HCPCS code 2020Q3]], ASP2020Q3[], 4, FALSE), "")</f>
        <v>38.972000000000001</v>
      </c>
      <c r="AV29" s="72">
        <f>IFERROR(Table5[[#This Row],[Payment limit 2020Q3]]/Table5[[#This Row],[HCPCS code dosage 2020Q3]],"")</f>
        <v>38.972000000000001</v>
      </c>
      <c r="AW29" s="144" t="s">
        <v>1186</v>
      </c>
      <c r="AX29" s="118" t="s">
        <v>1665</v>
      </c>
      <c r="AY29" s="144" t="s">
        <v>1470</v>
      </c>
      <c r="AZ29" s="144">
        <f>IFERROR(VLOOKUP(Table5[[#This Row],[HCPCS code 2021Q1]], ASP2021Q1[], 4, FALSE), "")</f>
        <v>39.344999999999999</v>
      </c>
      <c r="BA29" s="122">
        <f>IFERROR(Table5[[#This Row],[Payment limit 2021Q1]]/Table5[[#This Row],[HCPCS code dosage 2021Q1]], "")</f>
        <v>39.344999999999999</v>
      </c>
      <c r="BB29" s="147" t="s">
        <v>1186</v>
      </c>
      <c r="BC29" s="118" t="s">
        <v>1665</v>
      </c>
      <c r="BD29" s="144" t="s">
        <v>1470</v>
      </c>
      <c r="BE29" s="144">
        <f>IFERROR(VLOOKUP(Table5[[#This Row],[HCPCS code 2021Q3]], ASP2021Q3[], 4, FALSE), "")</f>
        <v>40.481999999999999</v>
      </c>
      <c r="BF29" s="122">
        <f>IFERROR(Table5[[#This Row],[Payment limit 2021Q3]]/Table5[[#This Row],[HCPCS code dosage 2021Q3]], "")</f>
        <v>40.481999999999999</v>
      </c>
      <c r="BG29" s="147" t="s">
        <v>1186</v>
      </c>
      <c r="BH29" s="118" t="s">
        <v>1665</v>
      </c>
      <c r="BI29" s="144" t="s">
        <v>1470</v>
      </c>
      <c r="BJ29" s="144">
        <f>IFERROR(VLOOKUP(Table5[[#This Row],[HCPCS code 2022Q1]], ASP2022Q1[], 4, FALSE), "")</f>
        <v>41.110999999999997</v>
      </c>
      <c r="BK29" s="122">
        <f>IFERROR(Table5[[#This Row],[Payment limit 2022Q1]]/Table5[[#This Row],[HCPCS code dosage 2022Q1]], "")</f>
        <v>41.110999999999997</v>
      </c>
      <c r="BL29" s="144" t="s">
        <v>1186</v>
      </c>
      <c r="BM29" s="184">
        <v>1</v>
      </c>
      <c r="BN29" s="144" t="s">
        <v>1470</v>
      </c>
      <c r="BO29" s="144">
        <f>IFERROR(VLOOKUP(Table5[[#This Row],[HCPCS Code 2022Q3]], ASP2022Q3[], 4, FALSE), "")</f>
        <v>43.241999999999997</v>
      </c>
      <c r="BP29" s="122">
        <f>IFERROR(Table5[[#This Row],[Payment limit 2022Q3]]/Table5[[#This Row],[HCPCS code dosage 2022Q3]], "")</f>
        <v>43.241999999999997</v>
      </c>
      <c r="BQ29" s="144" t="s">
        <v>1186</v>
      </c>
      <c r="BR29" s="118">
        <v>1</v>
      </c>
      <c r="BS29" s="144" t="s">
        <v>1470</v>
      </c>
      <c r="BT29" s="144">
        <v>45.061</v>
      </c>
      <c r="BU29" s="144">
        <f>IFERROR(Table5[[#This Row],[Payment limit 2023Q1]]/Table5[[#This Row],[HCPCS code dosage 2023Q1]], "")</f>
        <v>45.061</v>
      </c>
      <c r="BV29" s="79"/>
    </row>
    <row r="30" spans="1:74" x14ac:dyDescent="0.3">
      <c r="A30" s="62" t="s">
        <v>131</v>
      </c>
      <c r="B30" s="286" t="s">
        <v>1188</v>
      </c>
      <c r="C30" s="286">
        <v>100</v>
      </c>
      <c r="D30" s="307" t="s">
        <v>1470</v>
      </c>
      <c r="E30" s="292">
        <f>IFERROR(VLOOKUP(Table5[[#This Row],[HCPCS code 2016 Q1]], ASP2016Q1[], 4, FALSE), "")</f>
        <v>3217.5129999999999</v>
      </c>
      <c r="F30" s="303">
        <f>IFERROR(Table5[[#This Row],[Payment Limit 2016Q1]]/Table5[[#This Row],[HCPCS code dosage 2016Q1]], "")</f>
        <v>32.175129999999996</v>
      </c>
      <c r="G30" s="286" t="s">
        <v>1188</v>
      </c>
      <c r="H30" s="286">
        <v>100</v>
      </c>
      <c r="I30" s="307" t="s">
        <v>1470</v>
      </c>
      <c r="J30" s="292">
        <f>IFERROR(VLOOKUP(Table5[[#This Row],[HCPCS code 2016 Q3]], ASP2016Q3[], 4, FALSE), "")</f>
        <v>3820.7510000000002</v>
      </c>
      <c r="K30" s="303">
        <f>IFERROR(Table5[[#This Row],[Payment Limit 2016Q3]]/Table5[[#This Row],[HCPCS code dosage 2016Q3]], "")</f>
        <v>38.207509999999999</v>
      </c>
      <c r="L30" s="286" t="s">
        <v>1188</v>
      </c>
      <c r="M30" s="286">
        <v>100</v>
      </c>
      <c r="N30" s="307" t="s">
        <v>1470</v>
      </c>
      <c r="O30" s="291">
        <f>IFERROR(VLOOKUP(Table5[[#This Row],[HCPCS code 2017 Q1]], ASP2017Q1[], 4, FALSE), "")</f>
        <v>3850.0569999999998</v>
      </c>
      <c r="P30" s="302">
        <f>IFERROR(Table5[[#This Row],[Payment Limit 2017Q1]]/Table5[[#This Row],[HCPCS code dosage 2017Q1]], "")</f>
        <v>38.500569999999996</v>
      </c>
      <c r="Q30" s="275" t="s">
        <v>1188</v>
      </c>
      <c r="R30" s="275">
        <v>100</v>
      </c>
      <c r="S30" s="275" t="s">
        <v>1470</v>
      </c>
      <c r="T30" s="279">
        <f>IFERROR(VLOOKUP(Table5[[#This Row],[HCPCS code 2017 Q3]], ASP2017Q3[], 4, FALSE), "")</f>
        <v>3862.48</v>
      </c>
      <c r="U30" s="279">
        <f>IFERROR(Table5[[#This Row],[Payment Limit 2017Q3]]/Table5[[#This Row],[HCPCS code dosage 2017Q3]], "")</f>
        <v>38.6248</v>
      </c>
      <c r="V30" s="374" t="s">
        <v>1188</v>
      </c>
      <c r="W30" s="377">
        <v>100</v>
      </c>
      <c r="X30" s="142" t="s">
        <v>1470</v>
      </c>
      <c r="Y30" s="279">
        <v>3852.7829999999999</v>
      </c>
      <c r="Z30" s="370">
        <f>IFERROR(Table5[[#This Row],[Payment Limit 2018 Q1]]/Table5[[#This Row],[HCPCS code dosage 2018 Q1]],"")</f>
        <v>38.527830000000002</v>
      </c>
      <c r="AA30" s="374" t="s">
        <v>1188</v>
      </c>
      <c r="AB30" s="381">
        <v>100</v>
      </c>
      <c r="AC30" s="142" t="s">
        <v>1470</v>
      </c>
      <c r="AD30" s="378">
        <v>3921.5059999999999</v>
      </c>
      <c r="AE30" s="370">
        <f>IFERROR(Table5[[#This Row],[Payment Limit 2018 Q3]]/Table5[[#This Row],[HCPCS code dosage 2018 Q3]],"")</f>
        <v>39.215060000000001</v>
      </c>
      <c r="AF30" s="275" t="s">
        <v>1188</v>
      </c>
      <c r="AG30" s="122">
        <v>40.52346</v>
      </c>
      <c r="AH30" s="117" t="s">
        <v>1188</v>
      </c>
      <c r="AI30" s="118" t="s">
        <v>1677</v>
      </c>
      <c r="AJ30" s="118" t="s">
        <v>1470</v>
      </c>
      <c r="AK30" s="115">
        <f>IFERROR(VLOOKUP(Table5[[#This Row],[HCPCS code 2019Q3]], ASP2019Q3[], 4, FALSE), "")</f>
        <v>3534.848</v>
      </c>
      <c r="AL30" s="72">
        <f>IFERROR(Table5[[#This Row],[Payment Limit 2019Q3]]/Table5[[#This Row],[HCPCS code dosage 2019Q3]], "")</f>
        <v>35.348480000000002</v>
      </c>
      <c r="AM30" s="130" t="s">
        <v>1188</v>
      </c>
      <c r="AN30" s="130" t="s">
        <v>1677</v>
      </c>
      <c r="AO30" s="130" t="s">
        <v>1470</v>
      </c>
      <c r="AP30" s="126">
        <f>IFERROR(VLOOKUP(Table5[[#This Row],[HCPCS code 2020Q1]], ASP2020Q1[], 4, FALSE), "")</f>
        <v>2618.6210000000001</v>
      </c>
      <c r="AQ30" s="77">
        <f>IFERROR(Table5[[#This Row],[Payment Limit 2020Q1]]/Table5[[#This Row],[HCPCS code dosage 2020Q1]], "")</f>
        <v>26.186210000000003</v>
      </c>
      <c r="AR30" s="133" t="s">
        <v>1188</v>
      </c>
      <c r="AS30" s="130" t="s">
        <v>1677</v>
      </c>
      <c r="AT30" s="130" t="s">
        <v>1470</v>
      </c>
      <c r="AU30" s="132">
        <f>IFERROR(VLOOKUP(Table5[[#This Row],[HCPCS code 2020Q3]], ASP2020Q3[], 4, FALSE), "")</f>
        <v>1973.692</v>
      </c>
      <c r="AV30" s="72">
        <f>IFERROR(Table5[[#This Row],[Payment limit 2020Q3]]/Table5[[#This Row],[HCPCS code dosage 2020Q3]],"")</f>
        <v>19.736920000000001</v>
      </c>
      <c r="AW30" s="144" t="s">
        <v>1188</v>
      </c>
      <c r="AX30" s="118" t="s">
        <v>1677</v>
      </c>
      <c r="AY30" s="144" t="s">
        <v>1470</v>
      </c>
      <c r="AZ30" s="144">
        <f>IFERROR(VLOOKUP(Table5[[#This Row],[HCPCS code 2021Q1]], ASP2021Q1[], 4, FALSE), "")</f>
        <v>1743.2449999999999</v>
      </c>
      <c r="BA30" s="122">
        <f>IFERROR(Table5[[#This Row],[Payment limit 2021Q1]]/Table5[[#This Row],[HCPCS code dosage 2021Q1]], "")</f>
        <v>17.432449999999999</v>
      </c>
      <c r="BB30" s="147" t="s">
        <v>1188</v>
      </c>
      <c r="BC30" s="118" t="s">
        <v>1677</v>
      </c>
      <c r="BD30" s="144" t="s">
        <v>1470</v>
      </c>
      <c r="BE30" s="144">
        <f>IFERROR(VLOOKUP(Table5[[#This Row],[HCPCS code 2021Q3]], ASP2021Q3[], 4, FALSE), "")</f>
        <v>1722.0229999999999</v>
      </c>
      <c r="BF30" s="122">
        <f>IFERROR(Table5[[#This Row],[Payment limit 2021Q3]]/Table5[[#This Row],[HCPCS code dosage 2021Q3]], "")</f>
        <v>17.220230000000001</v>
      </c>
      <c r="BG30" s="147" t="s">
        <v>1188</v>
      </c>
      <c r="BH30" s="118" t="s">
        <v>1677</v>
      </c>
      <c r="BI30" s="144" t="s">
        <v>1470</v>
      </c>
      <c r="BJ30" s="144">
        <f>IFERROR(VLOOKUP(Table5[[#This Row],[HCPCS code 2022Q1]], ASP2022Q1[], 4, FALSE), "")</f>
        <v>1099.8219999999999</v>
      </c>
      <c r="BK30" s="122">
        <f>IFERROR(Table5[[#This Row],[Payment limit 2022Q1]]/Table5[[#This Row],[HCPCS code dosage 2022Q1]], "")</f>
        <v>10.998219999999998</v>
      </c>
      <c r="BL30" s="144" t="s">
        <v>1188</v>
      </c>
      <c r="BM30" s="184">
        <v>100</v>
      </c>
      <c r="BN30" s="144" t="s">
        <v>1470</v>
      </c>
      <c r="BO30" s="144">
        <f>IFERROR(VLOOKUP(Table5[[#This Row],[HCPCS Code 2022Q3]], ASP2022Q3[], 4, FALSE), "")</f>
        <v>760.82600000000002</v>
      </c>
      <c r="BP30" s="122">
        <f>IFERROR(Table5[[#This Row],[Payment limit 2022Q3]]/Table5[[#This Row],[HCPCS code dosage 2022Q3]], "")</f>
        <v>7.6082600000000005</v>
      </c>
      <c r="BQ30" s="144" t="s">
        <v>1188</v>
      </c>
      <c r="BR30" s="118">
        <v>100</v>
      </c>
      <c r="BS30" s="144" t="s">
        <v>1470</v>
      </c>
      <c r="BT30" s="144">
        <v>245.96100000000001</v>
      </c>
      <c r="BU30" s="144">
        <f>IFERROR(Table5[[#This Row],[Payment limit 2023Q1]]/Table5[[#This Row],[HCPCS code dosage 2023Q1]], "")</f>
        <v>2.4596100000000001</v>
      </c>
      <c r="BV30" s="79"/>
    </row>
    <row r="31" spans="1:74" x14ac:dyDescent="0.3">
      <c r="A31" s="69" t="s">
        <v>2152</v>
      </c>
      <c r="B31" s="273"/>
      <c r="C31" s="273"/>
      <c r="D31" s="275"/>
      <c r="E31" s="280" t="str">
        <f>IFERROR(VLOOKUP(Table5[[#This Row],[HCPCS code 2016 Q1]], ASP2016Q1[], 4, FALSE), "")</f>
        <v/>
      </c>
      <c r="F31" s="305" t="str">
        <f>IFERROR(Table5[[#This Row],[Payment Limit 2016Q1]]/Table5[[#This Row],[HCPCS code dosage 2016Q1]], "")</f>
        <v/>
      </c>
      <c r="G31" s="273"/>
      <c r="H31" s="273"/>
      <c r="I31" s="275"/>
      <c r="J31" s="280" t="str">
        <f>IFERROR(VLOOKUP(Table5[[#This Row],[HCPCS code 2016 Q3]], ASP2016Q3[], 4, FALSE), "")</f>
        <v/>
      </c>
      <c r="K31" s="305" t="str">
        <f>IFERROR(Table5[[#This Row],[Payment Limit 2016Q3]]/Table5[[#This Row],[HCPCS code dosage 2016Q3]], "")</f>
        <v/>
      </c>
      <c r="L31" s="273"/>
      <c r="M31" s="273"/>
      <c r="N31" s="275"/>
      <c r="O31" s="291" t="str">
        <f>IFERROR(VLOOKUP(Table5[[#This Row],[HCPCS code 2017 Q1]], ASP2017Q1[], 4, FALSE), "")</f>
        <v/>
      </c>
      <c r="P31" s="302" t="str">
        <f>IFERROR(Table5[[#This Row],[Payment Limit 2017Q1]]/Table5[[#This Row],[HCPCS code dosage 2017Q1]], "")</f>
        <v/>
      </c>
      <c r="Q31" s="142" t="s">
        <v>1592</v>
      </c>
      <c r="R31" s="142" t="s">
        <v>2434</v>
      </c>
      <c r="S31" s="416"/>
      <c r="T31" s="280" t="str">
        <f>IFERROR(VLOOKUP(Table5[[#This Row],[HCPCS code 2017 Q3]], ASP2017Q3[], 4, FALSE), "")</f>
        <v/>
      </c>
      <c r="U31" s="280" t="str">
        <f>IFERROR(Table5[[#This Row],[Payment Limit 2017Q3]]/Table5[[#This Row],[HCPCS code dosage 2017Q3]], "")</f>
        <v/>
      </c>
      <c r="V31" s="374"/>
      <c r="W31" s="377"/>
      <c r="X31" s="142"/>
      <c r="Y31" s="280"/>
      <c r="Z31" s="305"/>
      <c r="AA31" s="374"/>
      <c r="AB31" s="381"/>
      <c r="AC31" s="142"/>
      <c r="AD31" s="378"/>
      <c r="AE31" s="305"/>
      <c r="AF31" s="416"/>
      <c r="AG31" s="122"/>
      <c r="AH31" s="117"/>
      <c r="AI31" s="118"/>
      <c r="AJ31" s="118"/>
      <c r="AK31" s="132" t="str">
        <f>IFERROR(VLOOKUP(Table5[[#This Row],[HCPCS code 2019Q3]], ASP2019Q3[], 4, FALSE), "")</f>
        <v/>
      </c>
      <c r="AL31" s="72" t="str">
        <f>IFERROR(Table5[[#This Row],[Payment Limit 2019Q3]]/Table5[[#This Row],[HCPCS code dosage 2019Q3]], "")</f>
        <v/>
      </c>
      <c r="AM31" s="130"/>
      <c r="AN31" s="130"/>
      <c r="AO31" s="130"/>
      <c r="AP31" s="126" t="str">
        <f>IFERROR(VLOOKUP(Table5[[#This Row],[HCPCS code 2020Q1]], ASP2020Q1[], 4, FALSE), "")</f>
        <v/>
      </c>
      <c r="AQ31" s="77" t="str">
        <f>IFERROR(Table5[[#This Row],[Payment Limit 2020Q1]]/Table5[[#This Row],[HCPCS code dosage 2020Q1]], "")</f>
        <v/>
      </c>
      <c r="AR31" s="133"/>
      <c r="AS31" s="130"/>
      <c r="AT31" s="130"/>
      <c r="AU31" s="132" t="str">
        <f>IFERROR(VLOOKUP(Table5[[#This Row],[HCPCS code 2020Q3]], ASP2020Q3[], 4, FALSE), "")</f>
        <v/>
      </c>
      <c r="AV31" s="72" t="str">
        <f>IFERROR(Table5[[#This Row],[Payment limit 2020Q3]]/Table5[[#This Row],[HCPCS code dosage 2020Q3]],"")</f>
        <v/>
      </c>
      <c r="AW31" s="144"/>
      <c r="AX31" s="118"/>
      <c r="AY31" s="144"/>
      <c r="AZ31" s="144" t="str">
        <f>IFERROR(VLOOKUP(Table5[[#This Row],[HCPCS code 2021Q1]], ASP2021Q1[], 4, FALSE), "")</f>
        <v/>
      </c>
      <c r="BA31" s="122" t="str">
        <f>IFERROR(Table5[[#This Row],[Payment limit 2021Q1]]/Table5[[#This Row],[HCPCS code dosage 2021Q1]], "")</f>
        <v/>
      </c>
      <c r="BB31" s="147" t="s">
        <v>1592</v>
      </c>
      <c r="BC31" s="118">
        <v>1</v>
      </c>
      <c r="BD31" s="144" t="s">
        <v>1470</v>
      </c>
      <c r="BE31" s="144">
        <f>IFERROR(VLOOKUP(Table5[[#This Row],[HCPCS code 2021Q3]], ASP2021Q3[], 4, FALSE), "")</f>
        <v>27.577000000000002</v>
      </c>
      <c r="BF31" s="122">
        <f>IFERROR(Table5[[#This Row],[Payment limit 2021Q3]]/Table5[[#This Row],[HCPCS code dosage 2021Q3]], "")</f>
        <v>27.577000000000002</v>
      </c>
      <c r="BG31" s="147" t="s">
        <v>1592</v>
      </c>
      <c r="BH31" s="118">
        <v>1</v>
      </c>
      <c r="BI31" s="144" t="s">
        <v>1470</v>
      </c>
      <c r="BJ31" s="144">
        <f>IFERROR(VLOOKUP(Table5[[#This Row],[HCPCS code 2022Q1]], ASP2022Q1[], 4, FALSE), "")</f>
        <v>27.673999999999999</v>
      </c>
      <c r="BK31" s="122">
        <f>IFERROR(Table5[[#This Row],[Payment limit 2022Q1]]/Table5[[#This Row],[HCPCS code dosage 2022Q1]], "")</f>
        <v>27.673999999999999</v>
      </c>
      <c r="BL31" s="144" t="s">
        <v>1592</v>
      </c>
      <c r="BM31" s="184"/>
      <c r="BN31" s="144"/>
      <c r="BO31" s="144">
        <f>IFERROR(VLOOKUP(Table5[[#This Row],[HCPCS Code 2022Q3]], ASP2022Q3[], 4, FALSE), "")</f>
        <v>27.251999999999999</v>
      </c>
      <c r="BP31" s="122" t="str">
        <f>IFERROR(Table5[[#This Row],[Payment limit 2022Q3]]/Table5[[#This Row],[HCPCS code dosage 2022Q3]], "")</f>
        <v/>
      </c>
      <c r="BQ31" s="144" t="s">
        <v>1592</v>
      </c>
      <c r="BR31" s="118">
        <v>1</v>
      </c>
      <c r="BS31" s="144" t="s">
        <v>1470</v>
      </c>
      <c r="BT31" s="144">
        <v>27.231000000000002</v>
      </c>
      <c r="BU31" s="144">
        <f>IFERROR(Table5[[#This Row],[Payment limit 2023Q1]]/Table5[[#This Row],[HCPCS code dosage 2023Q1]], "")</f>
        <v>27.231000000000002</v>
      </c>
      <c r="BV31" s="79"/>
    </row>
    <row r="32" spans="1:74" x14ac:dyDescent="0.3">
      <c r="A32" s="62" t="s">
        <v>66</v>
      </c>
      <c r="B32" s="286" t="s">
        <v>1190</v>
      </c>
      <c r="C32" s="286">
        <v>10</v>
      </c>
      <c r="D32" s="307" t="s">
        <v>1470</v>
      </c>
      <c r="E32" s="292">
        <f>IFERROR(VLOOKUP(Table5[[#This Row],[HCPCS code 2016 Q1]], ASP2016Q1[], 4, FALSE), "")</f>
        <v>53.808999999999997</v>
      </c>
      <c r="F32" s="303">
        <f>IFERROR(Table5[[#This Row],[Payment Limit 2016Q1]]/Table5[[#This Row],[HCPCS code dosage 2016Q1]], "")</f>
        <v>5.3808999999999996</v>
      </c>
      <c r="G32" s="286" t="s">
        <v>1190</v>
      </c>
      <c r="H32" s="286">
        <v>10</v>
      </c>
      <c r="I32" s="307" t="s">
        <v>1470</v>
      </c>
      <c r="J32" s="292">
        <f>IFERROR(VLOOKUP(Table5[[#This Row],[HCPCS code 2016 Q3]], ASP2016Q3[], 4, FALSE), "")</f>
        <v>55.97</v>
      </c>
      <c r="K32" s="303">
        <f>IFERROR(Table5[[#This Row],[Payment Limit 2016Q3]]/Table5[[#This Row],[HCPCS code dosage 2016Q3]], "")</f>
        <v>5.5969999999999995</v>
      </c>
      <c r="L32" s="286" t="s">
        <v>1190</v>
      </c>
      <c r="M32" s="286">
        <v>10</v>
      </c>
      <c r="N32" s="307" t="s">
        <v>1470</v>
      </c>
      <c r="O32" s="291">
        <f>IFERROR(VLOOKUP(Table5[[#This Row],[HCPCS code 2017 Q1]], ASP2017Q1[], 4, FALSE), "")</f>
        <v>56.646999999999998</v>
      </c>
      <c r="P32" s="302">
        <f>IFERROR(Table5[[#This Row],[Payment Limit 2017Q1]]/Table5[[#This Row],[HCPCS code dosage 2017Q1]], "")</f>
        <v>5.6646999999999998</v>
      </c>
      <c r="Q32" s="275" t="s">
        <v>1190</v>
      </c>
      <c r="R32" s="275">
        <v>10</v>
      </c>
      <c r="S32" s="275" t="s">
        <v>1470</v>
      </c>
      <c r="T32" s="279">
        <f>IFERROR(VLOOKUP(Table5[[#This Row],[HCPCS code 2017 Q3]], ASP2017Q3[], 4, FALSE), "")</f>
        <v>57.488</v>
      </c>
      <c r="U32" s="279">
        <f>IFERROR(Table5[[#This Row],[Payment Limit 2017Q3]]/Table5[[#This Row],[HCPCS code dosage 2017Q3]], "")</f>
        <v>5.7488000000000001</v>
      </c>
      <c r="V32" s="374" t="s">
        <v>1190</v>
      </c>
      <c r="W32" s="377">
        <v>10</v>
      </c>
      <c r="X32" s="142" t="s">
        <v>1470</v>
      </c>
      <c r="Y32" s="279">
        <v>59.222999999999999</v>
      </c>
      <c r="Z32" s="370">
        <f>IFERROR(Table5[[#This Row],[Payment Limit 2018 Q1]]/Table5[[#This Row],[HCPCS code dosage 2018 Q1]],"")</f>
        <v>5.9222999999999999</v>
      </c>
      <c r="AA32" s="374" t="s">
        <v>1190</v>
      </c>
      <c r="AB32" s="381">
        <v>10</v>
      </c>
      <c r="AC32" s="142" t="s">
        <v>1470</v>
      </c>
      <c r="AD32" s="378">
        <v>60.779000000000003</v>
      </c>
      <c r="AE32" s="370">
        <f>IFERROR(Table5[[#This Row],[Payment Limit 2018 Q3]]/Table5[[#This Row],[HCPCS code dosage 2018 Q3]],"")</f>
        <v>6.0779000000000005</v>
      </c>
      <c r="AF32" s="275" t="s">
        <v>1190</v>
      </c>
      <c r="AG32" s="122">
        <v>6.0572999999999997</v>
      </c>
      <c r="AH32" s="117" t="s">
        <v>1190</v>
      </c>
      <c r="AI32" s="118" t="s">
        <v>1664</v>
      </c>
      <c r="AJ32" s="118" t="s">
        <v>1470</v>
      </c>
      <c r="AK32" s="115">
        <f>IFERROR(VLOOKUP(Table5[[#This Row],[HCPCS code 2019Q3]], ASP2019Q3[], 4, FALSE), "")</f>
        <v>62.112000000000002</v>
      </c>
      <c r="AL32" s="72">
        <f>IFERROR(Table5[[#This Row],[Payment Limit 2019Q3]]/Table5[[#This Row],[HCPCS code dosage 2019Q3]], "")</f>
        <v>6.2111999999999998</v>
      </c>
      <c r="AM32" s="130" t="s">
        <v>1190</v>
      </c>
      <c r="AN32" s="130" t="s">
        <v>1664</v>
      </c>
      <c r="AO32" s="130" t="s">
        <v>1470</v>
      </c>
      <c r="AP32" s="126">
        <f>IFERROR(VLOOKUP(Table5[[#This Row],[HCPCS code 2020Q1]], ASP2020Q1[], 4, FALSE), "")</f>
        <v>63.206000000000003</v>
      </c>
      <c r="AQ32" s="77">
        <f>IFERROR(Table5[[#This Row],[Payment Limit 2020Q1]]/Table5[[#This Row],[HCPCS code dosage 2020Q1]], "")</f>
        <v>6.3206000000000007</v>
      </c>
      <c r="AR32" s="133" t="s">
        <v>1190</v>
      </c>
      <c r="AS32" s="130" t="s">
        <v>1664</v>
      </c>
      <c r="AT32" s="130" t="s">
        <v>1470</v>
      </c>
      <c r="AU32" s="132">
        <f>IFERROR(VLOOKUP(Table5[[#This Row],[HCPCS code 2020Q3]], ASP2020Q3[], 4, FALSE), "")</f>
        <v>64.712999999999994</v>
      </c>
      <c r="AV32" s="72">
        <f>IFERROR(Table5[[#This Row],[Payment limit 2020Q3]]/Table5[[#This Row],[HCPCS code dosage 2020Q3]],"")</f>
        <v>6.4712999999999994</v>
      </c>
      <c r="AW32" s="144" t="s">
        <v>1190</v>
      </c>
      <c r="AX32" s="118" t="s">
        <v>1664</v>
      </c>
      <c r="AY32" s="144" t="s">
        <v>1470</v>
      </c>
      <c r="AZ32" s="144">
        <f>IFERROR(VLOOKUP(Table5[[#This Row],[HCPCS code 2021Q1]], ASP2021Q1[], 4, FALSE), "")</f>
        <v>65.483000000000004</v>
      </c>
      <c r="BA32" s="122">
        <f>IFERROR(Table5[[#This Row],[Payment limit 2021Q1]]/Table5[[#This Row],[HCPCS code dosage 2021Q1]], "")</f>
        <v>6.5483000000000002</v>
      </c>
      <c r="BB32" s="147" t="s">
        <v>1190</v>
      </c>
      <c r="BC32" s="118" t="s">
        <v>1664</v>
      </c>
      <c r="BD32" s="144" t="s">
        <v>1470</v>
      </c>
      <c r="BE32" s="144">
        <f>IFERROR(VLOOKUP(Table5[[#This Row],[HCPCS code 2021Q3]], ASP2021Q3[], 4, FALSE), "")</f>
        <v>66.311999999999998</v>
      </c>
      <c r="BF32" s="122">
        <f>IFERROR(Table5[[#This Row],[Payment limit 2021Q3]]/Table5[[#This Row],[HCPCS code dosage 2021Q3]], "")</f>
        <v>6.6311999999999998</v>
      </c>
      <c r="BG32" s="147" t="s">
        <v>1190</v>
      </c>
      <c r="BH32" s="118" t="s">
        <v>1664</v>
      </c>
      <c r="BI32" s="144" t="s">
        <v>1470</v>
      </c>
      <c r="BJ32" s="144">
        <f>IFERROR(VLOOKUP(Table5[[#This Row],[HCPCS code 2022Q1]], ASP2022Q1[], 4, FALSE), "")</f>
        <v>67.617999999999995</v>
      </c>
      <c r="BK32" s="122">
        <f>IFERROR(Table5[[#This Row],[Payment limit 2022Q1]]/Table5[[#This Row],[HCPCS code dosage 2022Q1]], "")</f>
        <v>6.7617999999999991</v>
      </c>
      <c r="BL32" s="144" t="s">
        <v>1190</v>
      </c>
      <c r="BM32" s="184">
        <v>10</v>
      </c>
      <c r="BN32" s="144" t="s">
        <v>1470</v>
      </c>
      <c r="BO32" s="144">
        <f>IFERROR(VLOOKUP(Table5[[#This Row],[HCPCS Code 2022Q3]], ASP2022Q3[], 4, FALSE), "")</f>
        <v>69.408000000000001</v>
      </c>
      <c r="BP32" s="122">
        <f>IFERROR(Table5[[#This Row],[Payment limit 2022Q3]]/Table5[[#This Row],[HCPCS code dosage 2022Q3]], "")</f>
        <v>6.9408000000000003</v>
      </c>
      <c r="BQ32" s="144" t="s">
        <v>1190</v>
      </c>
      <c r="BR32" s="118">
        <v>10</v>
      </c>
      <c r="BS32" s="144" t="s">
        <v>1470</v>
      </c>
      <c r="BT32" s="144">
        <v>70.353999999999999</v>
      </c>
      <c r="BU32" s="144">
        <f>IFERROR(Table5[[#This Row],[Payment limit 2023Q1]]/Table5[[#This Row],[HCPCS code dosage 2023Q1]], "")</f>
        <v>7.0354000000000001</v>
      </c>
      <c r="BV32" s="79"/>
    </row>
    <row r="33" spans="1:74" x14ac:dyDescent="0.3">
      <c r="A33" s="62" t="s">
        <v>168</v>
      </c>
      <c r="B33" s="286" t="s">
        <v>1192</v>
      </c>
      <c r="C33" s="286">
        <v>10</v>
      </c>
      <c r="D33" s="307" t="s">
        <v>1470</v>
      </c>
      <c r="E33" s="292">
        <f>IFERROR(VLOOKUP(Table5[[#This Row],[HCPCS code 2016 Q1]], ASP2016Q1[], 4, FALSE), "")</f>
        <v>1.552</v>
      </c>
      <c r="F33" s="303">
        <f>IFERROR(Table5[[#This Row],[Payment Limit 2016Q1]]/Table5[[#This Row],[HCPCS code dosage 2016Q1]], "")</f>
        <v>0.1552</v>
      </c>
      <c r="G33" s="286" t="s">
        <v>1192</v>
      </c>
      <c r="H33" s="286">
        <v>10</v>
      </c>
      <c r="I33" s="307" t="s">
        <v>1470</v>
      </c>
      <c r="J33" s="292">
        <f>IFERROR(VLOOKUP(Table5[[#This Row],[HCPCS code 2016 Q3]], ASP2016Q3[], 4, FALSE), "")</f>
        <v>2.0129999999999999</v>
      </c>
      <c r="K33" s="303">
        <f>IFERROR(Table5[[#This Row],[Payment Limit 2016Q3]]/Table5[[#This Row],[HCPCS code dosage 2016Q3]], "")</f>
        <v>0.20129999999999998</v>
      </c>
      <c r="L33" s="286" t="s">
        <v>1192</v>
      </c>
      <c r="M33" s="286">
        <v>10</v>
      </c>
      <c r="N33" s="307" t="s">
        <v>1470</v>
      </c>
      <c r="O33" s="291">
        <f>IFERROR(VLOOKUP(Table5[[#This Row],[HCPCS code 2017 Q1]], ASP2017Q1[], 4, FALSE), "")</f>
        <v>2.0760000000000001</v>
      </c>
      <c r="P33" s="302">
        <f>IFERROR(Table5[[#This Row],[Payment Limit 2017Q1]]/Table5[[#This Row],[HCPCS code dosage 2017Q1]], "")</f>
        <v>0.20760000000000001</v>
      </c>
      <c r="Q33" s="275" t="s">
        <v>1192</v>
      </c>
      <c r="R33" s="275">
        <v>10</v>
      </c>
      <c r="S33" s="275" t="s">
        <v>1470</v>
      </c>
      <c r="T33" s="279">
        <f>IFERROR(VLOOKUP(Table5[[#This Row],[HCPCS code 2017 Q3]], ASP2017Q3[], 4, FALSE), "")</f>
        <v>2.0089999999999999</v>
      </c>
      <c r="U33" s="279">
        <f>IFERROR(Table5[[#This Row],[Payment Limit 2017Q3]]/Table5[[#This Row],[HCPCS code dosage 2017Q3]], "")</f>
        <v>0.2009</v>
      </c>
      <c r="V33" s="374" t="s">
        <v>1192</v>
      </c>
      <c r="W33" s="377">
        <v>10</v>
      </c>
      <c r="X33" s="142" t="s">
        <v>1470</v>
      </c>
      <c r="Y33" s="279">
        <v>1.911</v>
      </c>
      <c r="Z33" s="370">
        <f>IFERROR(Table5[[#This Row],[Payment Limit 2018 Q1]]/Table5[[#This Row],[HCPCS code dosage 2018 Q1]],"")</f>
        <v>0.19109999999999999</v>
      </c>
      <c r="AA33" s="374" t="s">
        <v>1192</v>
      </c>
      <c r="AB33" s="381">
        <v>10</v>
      </c>
      <c r="AC33" s="142" t="s">
        <v>1470</v>
      </c>
      <c r="AD33" s="378">
        <v>1.984</v>
      </c>
      <c r="AE33" s="370">
        <f>IFERROR(Table5[[#This Row],[Payment Limit 2018 Q3]]/Table5[[#This Row],[HCPCS code dosage 2018 Q3]],"")</f>
        <v>0.19839999999999999</v>
      </c>
      <c r="AF33" s="275" t="s">
        <v>1192</v>
      </c>
      <c r="AG33" s="122">
        <v>0.1847</v>
      </c>
      <c r="AH33" s="117" t="s">
        <v>1192</v>
      </c>
      <c r="AI33" s="118" t="s">
        <v>1664</v>
      </c>
      <c r="AJ33" s="118" t="s">
        <v>1470</v>
      </c>
      <c r="AK33" s="115">
        <f>IFERROR(VLOOKUP(Table5[[#This Row],[HCPCS code 2019Q3]], ASP2019Q3[], 4, FALSE), "")</f>
        <v>1.891</v>
      </c>
      <c r="AL33" s="72">
        <f>IFERROR(Table5[[#This Row],[Payment Limit 2019Q3]]/Table5[[#This Row],[HCPCS code dosage 2019Q3]], "")</f>
        <v>0.18909999999999999</v>
      </c>
      <c r="AM33" s="130" t="s">
        <v>1192</v>
      </c>
      <c r="AN33" s="130" t="s">
        <v>1664</v>
      </c>
      <c r="AO33" s="130" t="s">
        <v>1470</v>
      </c>
      <c r="AP33" s="126">
        <f>IFERROR(VLOOKUP(Table5[[#This Row],[HCPCS code 2020Q1]], ASP2020Q1[], 4, FALSE), "")</f>
        <v>1.929</v>
      </c>
      <c r="AQ33" s="77">
        <f>IFERROR(Table5[[#This Row],[Payment Limit 2020Q1]]/Table5[[#This Row],[HCPCS code dosage 2020Q1]], "")</f>
        <v>0.19290000000000002</v>
      </c>
      <c r="AR33" s="133" t="s">
        <v>1192</v>
      </c>
      <c r="AS33" s="130" t="s">
        <v>1664</v>
      </c>
      <c r="AT33" s="130" t="s">
        <v>1470</v>
      </c>
      <c r="AU33" s="132">
        <f>IFERROR(VLOOKUP(Table5[[#This Row],[HCPCS code 2020Q3]], ASP2020Q3[], 4, FALSE), "")</f>
        <v>1.845</v>
      </c>
      <c r="AV33" s="72">
        <f>IFERROR(Table5[[#This Row],[Payment limit 2020Q3]]/Table5[[#This Row],[HCPCS code dosage 2020Q3]],"")</f>
        <v>0.1845</v>
      </c>
      <c r="AW33" s="144" t="s">
        <v>1192</v>
      </c>
      <c r="AX33" s="118" t="s">
        <v>1664</v>
      </c>
      <c r="AY33" s="144" t="s">
        <v>1470</v>
      </c>
      <c r="AZ33" s="144">
        <f>IFERROR(VLOOKUP(Table5[[#This Row],[HCPCS code 2021Q1]], ASP2021Q1[], 4, FALSE), "")</f>
        <v>1.681</v>
      </c>
      <c r="BA33" s="122">
        <f>IFERROR(Table5[[#This Row],[Payment limit 2021Q1]]/Table5[[#This Row],[HCPCS code dosage 2021Q1]], "")</f>
        <v>0.1681</v>
      </c>
      <c r="BB33" s="147" t="s">
        <v>1192</v>
      </c>
      <c r="BC33" s="118" t="s">
        <v>1664</v>
      </c>
      <c r="BD33" s="144" t="s">
        <v>1470</v>
      </c>
      <c r="BE33" s="144">
        <f>IFERROR(VLOOKUP(Table5[[#This Row],[HCPCS code 2021Q3]], ASP2021Q3[], 4, FALSE), "")</f>
        <v>1.835</v>
      </c>
      <c r="BF33" s="122">
        <f>IFERROR(Table5[[#This Row],[Payment limit 2021Q3]]/Table5[[#This Row],[HCPCS code dosage 2021Q3]], "")</f>
        <v>0.1835</v>
      </c>
      <c r="BG33" s="147" t="s">
        <v>1192</v>
      </c>
      <c r="BH33" s="118" t="s">
        <v>1664</v>
      </c>
      <c r="BI33" s="144" t="s">
        <v>1470</v>
      </c>
      <c r="BJ33" s="144">
        <f>IFERROR(VLOOKUP(Table5[[#This Row],[HCPCS code 2022Q1]], ASP2022Q1[], 4, FALSE), "")</f>
        <v>1.8640000000000001</v>
      </c>
      <c r="BK33" s="122">
        <f>IFERROR(Table5[[#This Row],[Payment limit 2022Q1]]/Table5[[#This Row],[HCPCS code dosage 2022Q1]], "")</f>
        <v>0.18640000000000001</v>
      </c>
      <c r="BL33" s="144" t="s">
        <v>1192</v>
      </c>
      <c r="BM33" s="184">
        <v>10</v>
      </c>
      <c r="BN33" s="144" t="s">
        <v>1470</v>
      </c>
      <c r="BO33" s="144">
        <f>IFERROR(VLOOKUP(Table5[[#This Row],[HCPCS Code 2022Q3]], ASP2022Q3[], 4, FALSE), "")</f>
        <v>2.0750000000000002</v>
      </c>
      <c r="BP33" s="122">
        <f>IFERROR(Table5[[#This Row],[Payment limit 2022Q3]]/Table5[[#This Row],[HCPCS code dosage 2022Q3]], "")</f>
        <v>0.20750000000000002</v>
      </c>
      <c r="BQ33" s="144" t="s">
        <v>1192</v>
      </c>
      <c r="BR33" s="118">
        <v>10</v>
      </c>
      <c r="BS33" s="146" t="s">
        <v>1470</v>
      </c>
      <c r="BT33" s="144">
        <v>1.6919999999999999</v>
      </c>
      <c r="BU33" s="144">
        <f>IFERROR(Table5[[#This Row],[Payment limit 2023Q1]]/Table5[[#This Row],[HCPCS code dosage 2023Q1]], "")</f>
        <v>0.16919999999999999</v>
      </c>
      <c r="BV33" s="79"/>
    </row>
    <row r="34" spans="1:74" x14ac:dyDescent="0.3">
      <c r="A34" s="62" t="s">
        <v>26</v>
      </c>
      <c r="B34" s="286" t="s">
        <v>1192</v>
      </c>
      <c r="C34" s="286">
        <v>10</v>
      </c>
      <c r="D34" s="307" t="s">
        <v>1470</v>
      </c>
      <c r="E34" s="292">
        <f>IFERROR(VLOOKUP(Table5[[#This Row],[HCPCS code 2016 Q1]], ASP2016Q1[], 4, FALSE), "")</f>
        <v>1.552</v>
      </c>
      <c r="F34" s="303">
        <f>IFERROR(Table5[[#This Row],[Payment Limit 2016Q1]]/Table5[[#This Row],[HCPCS code dosage 2016Q1]], "")</f>
        <v>0.1552</v>
      </c>
      <c r="G34" s="286" t="s">
        <v>1192</v>
      </c>
      <c r="H34" s="286">
        <v>10</v>
      </c>
      <c r="I34" s="307" t="s">
        <v>1470</v>
      </c>
      <c r="J34" s="292">
        <f>IFERROR(VLOOKUP(Table5[[#This Row],[HCPCS code 2016 Q3]], ASP2016Q3[], 4, FALSE), "")</f>
        <v>2.0129999999999999</v>
      </c>
      <c r="K34" s="303">
        <f>IFERROR(Table5[[#This Row],[Payment Limit 2016Q3]]/Table5[[#This Row],[HCPCS code dosage 2016Q3]], "")</f>
        <v>0.20129999999999998</v>
      </c>
      <c r="L34" s="286" t="s">
        <v>1192</v>
      </c>
      <c r="M34" s="286">
        <v>10</v>
      </c>
      <c r="N34" s="307" t="s">
        <v>1470</v>
      </c>
      <c r="O34" s="291">
        <f>IFERROR(VLOOKUP(Table5[[#This Row],[HCPCS code 2017 Q1]], ASP2017Q1[], 4, FALSE), "")</f>
        <v>2.0760000000000001</v>
      </c>
      <c r="P34" s="302">
        <f>IFERROR(Table5[[#This Row],[Payment Limit 2017Q1]]/Table5[[#This Row],[HCPCS code dosage 2017Q1]], "")</f>
        <v>0.20760000000000001</v>
      </c>
      <c r="Q34" s="275" t="s">
        <v>1192</v>
      </c>
      <c r="R34" s="275">
        <v>10</v>
      </c>
      <c r="S34" s="275" t="s">
        <v>1470</v>
      </c>
      <c r="T34" s="279">
        <f>IFERROR(VLOOKUP(Table5[[#This Row],[HCPCS code 2017 Q3]], ASP2017Q3[], 4, FALSE), "")</f>
        <v>2.0089999999999999</v>
      </c>
      <c r="U34" s="279">
        <f>IFERROR(Table5[[#This Row],[Payment Limit 2017Q3]]/Table5[[#This Row],[HCPCS code dosage 2017Q3]], "")</f>
        <v>0.2009</v>
      </c>
      <c r="V34" s="374" t="s">
        <v>1192</v>
      </c>
      <c r="W34" s="377">
        <v>10</v>
      </c>
      <c r="X34" s="142" t="s">
        <v>1470</v>
      </c>
      <c r="Y34" s="279">
        <v>1.911</v>
      </c>
      <c r="Z34" s="370">
        <f>IFERROR(Table5[[#This Row],[Payment Limit 2018 Q1]]/Table5[[#This Row],[HCPCS code dosage 2018 Q1]],"")</f>
        <v>0.19109999999999999</v>
      </c>
      <c r="AA34" s="374" t="s">
        <v>1192</v>
      </c>
      <c r="AB34" s="381">
        <v>10</v>
      </c>
      <c r="AC34" s="142" t="s">
        <v>1470</v>
      </c>
      <c r="AD34" s="378">
        <v>1.984</v>
      </c>
      <c r="AE34" s="370">
        <f>IFERROR(Table5[[#This Row],[Payment Limit 2018 Q3]]/Table5[[#This Row],[HCPCS code dosage 2018 Q3]],"")</f>
        <v>0.19839999999999999</v>
      </c>
      <c r="AF34" s="275" t="s">
        <v>1192</v>
      </c>
      <c r="AG34" s="122">
        <v>0.1847</v>
      </c>
      <c r="AH34" s="117" t="s">
        <v>1192</v>
      </c>
      <c r="AI34" s="118" t="s">
        <v>1664</v>
      </c>
      <c r="AJ34" s="118" t="s">
        <v>1470</v>
      </c>
      <c r="AK34" s="115">
        <f>IFERROR(VLOOKUP(Table5[[#This Row],[HCPCS code 2019Q3]], ASP2019Q3[], 4, FALSE), "")</f>
        <v>1.891</v>
      </c>
      <c r="AL34" s="72">
        <f>IFERROR(Table5[[#This Row],[Payment Limit 2019Q3]]/Table5[[#This Row],[HCPCS code dosage 2019Q3]], "")</f>
        <v>0.18909999999999999</v>
      </c>
      <c r="AM34" s="130" t="s">
        <v>1192</v>
      </c>
      <c r="AN34" s="130" t="s">
        <v>1664</v>
      </c>
      <c r="AO34" s="130" t="s">
        <v>1470</v>
      </c>
      <c r="AP34" s="126">
        <f>IFERROR(VLOOKUP(Table5[[#This Row],[HCPCS code 2020Q1]], ASP2020Q1[], 4, FALSE), "")</f>
        <v>1.929</v>
      </c>
      <c r="AQ34" s="77">
        <f>IFERROR(Table5[[#This Row],[Payment Limit 2020Q1]]/Table5[[#This Row],[HCPCS code dosage 2020Q1]], "")</f>
        <v>0.19290000000000002</v>
      </c>
      <c r="AR34" s="133" t="s">
        <v>1192</v>
      </c>
      <c r="AS34" s="130" t="s">
        <v>1664</v>
      </c>
      <c r="AT34" s="130" t="s">
        <v>1470</v>
      </c>
      <c r="AU34" s="132">
        <f>IFERROR(VLOOKUP(Table5[[#This Row],[HCPCS code 2020Q3]], ASP2020Q3[], 4, FALSE), "")</f>
        <v>1.845</v>
      </c>
      <c r="AV34" s="72">
        <f>IFERROR(Table5[[#This Row],[Payment limit 2020Q3]]/Table5[[#This Row],[HCPCS code dosage 2020Q3]],"")</f>
        <v>0.1845</v>
      </c>
      <c r="AW34" s="144" t="s">
        <v>1192</v>
      </c>
      <c r="AX34" s="118" t="s">
        <v>1664</v>
      </c>
      <c r="AY34" s="144" t="s">
        <v>1470</v>
      </c>
      <c r="AZ34" s="144">
        <f>IFERROR(VLOOKUP(Table5[[#This Row],[HCPCS code 2021Q1]], ASP2021Q1[], 4, FALSE), "")</f>
        <v>1.681</v>
      </c>
      <c r="BA34" s="122">
        <f>IFERROR(Table5[[#This Row],[Payment limit 2021Q1]]/Table5[[#This Row],[HCPCS code dosage 2021Q1]], "")</f>
        <v>0.1681</v>
      </c>
      <c r="BB34" s="147" t="s">
        <v>1192</v>
      </c>
      <c r="BC34" s="118" t="s">
        <v>1664</v>
      </c>
      <c r="BD34" s="144" t="s">
        <v>1470</v>
      </c>
      <c r="BE34" s="144">
        <f>IFERROR(VLOOKUP(Table5[[#This Row],[HCPCS code 2021Q3]], ASP2021Q3[], 4, FALSE), "")</f>
        <v>1.835</v>
      </c>
      <c r="BF34" s="122">
        <f>IFERROR(Table5[[#This Row],[Payment limit 2021Q3]]/Table5[[#This Row],[HCPCS code dosage 2021Q3]], "")</f>
        <v>0.1835</v>
      </c>
      <c r="BG34" s="147" t="s">
        <v>1192</v>
      </c>
      <c r="BH34" s="118" t="s">
        <v>1664</v>
      </c>
      <c r="BI34" s="144" t="s">
        <v>1470</v>
      </c>
      <c r="BJ34" s="144">
        <f>IFERROR(VLOOKUP(Table5[[#This Row],[HCPCS code 2022Q1]], ASP2022Q1[], 4, FALSE), "")</f>
        <v>1.8640000000000001</v>
      </c>
      <c r="BK34" s="122">
        <f>IFERROR(Table5[[#This Row],[Payment limit 2022Q1]]/Table5[[#This Row],[HCPCS code dosage 2022Q1]], "")</f>
        <v>0.18640000000000001</v>
      </c>
      <c r="BL34" s="144" t="s">
        <v>1192</v>
      </c>
      <c r="BM34" s="184">
        <v>10</v>
      </c>
      <c r="BN34" s="144" t="s">
        <v>1470</v>
      </c>
      <c r="BO34" s="144">
        <f>IFERROR(VLOOKUP(Table5[[#This Row],[HCPCS Code 2022Q3]], ASP2022Q3[], 4, FALSE), "")</f>
        <v>2.0750000000000002</v>
      </c>
      <c r="BP34" s="122">
        <f>IFERROR(Table5[[#This Row],[Payment limit 2022Q3]]/Table5[[#This Row],[HCPCS code dosage 2022Q3]], "")</f>
        <v>0.20750000000000002</v>
      </c>
      <c r="BQ34" s="144" t="s">
        <v>1192</v>
      </c>
      <c r="BR34" s="118">
        <v>10</v>
      </c>
      <c r="BS34" s="144" t="s">
        <v>1470</v>
      </c>
      <c r="BT34" s="144">
        <v>1.6919999999999999</v>
      </c>
      <c r="BU34" s="144">
        <f>IFERROR(Table5[[#This Row],[Payment limit 2023Q1]]/Table5[[#This Row],[HCPCS code dosage 2023Q1]], "")</f>
        <v>0.16919999999999999</v>
      </c>
      <c r="BV34" s="79"/>
    </row>
    <row r="35" spans="1:74" x14ac:dyDescent="0.3">
      <c r="A35" s="62" t="s">
        <v>177</v>
      </c>
      <c r="B35" s="286" t="s">
        <v>1192</v>
      </c>
      <c r="C35" s="286">
        <v>10</v>
      </c>
      <c r="D35" s="307" t="s">
        <v>1470</v>
      </c>
      <c r="E35" s="292">
        <f>IFERROR(VLOOKUP(Table5[[#This Row],[HCPCS code 2016 Q1]], ASP2016Q1[], 4, FALSE), "")</f>
        <v>1.552</v>
      </c>
      <c r="F35" s="303">
        <f>IFERROR(Table5[[#This Row],[Payment Limit 2016Q1]]/Table5[[#This Row],[HCPCS code dosage 2016Q1]], "")</f>
        <v>0.1552</v>
      </c>
      <c r="G35" s="286" t="s">
        <v>1192</v>
      </c>
      <c r="H35" s="286">
        <v>10</v>
      </c>
      <c r="I35" s="307" t="s">
        <v>1470</v>
      </c>
      <c r="J35" s="292">
        <f>IFERROR(VLOOKUP(Table5[[#This Row],[HCPCS code 2016 Q3]], ASP2016Q3[], 4, FALSE), "")</f>
        <v>2.0129999999999999</v>
      </c>
      <c r="K35" s="303">
        <f>IFERROR(Table5[[#This Row],[Payment Limit 2016Q3]]/Table5[[#This Row],[HCPCS code dosage 2016Q3]], "")</f>
        <v>0.20129999999999998</v>
      </c>
      <c r="L35" s="286" t="s">
        <v>1192</v>
      </c>
      <c r="M35" s="286">
        <v>10</v>
      </c>
      <c r="N35" s="307" t="s">
        <v>1470</v>
      </c>
      <c r="O35" s="291">
        <f>IFERROR(VLOOKUP(Table5[[#This Row],[HCPCS code 2017 Q1]], ASP2017Q1[], 4, FALSE), "")</f>
        <v>2.0760000000000001</v>
      </c>
      <c r="P35" s="302">
        <f>IFERROR(Table5[[#This Row],[Payment Limit 2017Q1]]/Table5[[#This Row],[HCPCS code dosage 2017Q1]], "")</f>
        <v>0.20760000000000001</v>
      </c>
      <c r="Q35" s="275" t="s">
        <v>1192</v>
      </c>
      <c r="R35" s="275">
        <v>10</v>
      </c>
      <c r="S35" s="275" t="s">
        <v>1470</v>
      </c>
      <c r="T35" s="279">
        <f>IFERROR(VLOOKUP(Table5[[#This Row],[HCPCS code 2017 Q3]], ASP2017Q3[], 4, FALSE), "")</f>
        <v>2.0089999999999999</v>
      </c>
      <c r="U35" s="279">
        <f>IFERROR(Table5[[#This Row],[Payment Limit 2017Q3]]/Table5[[#This Row],[HCPCS code dosage 2017Q3]], "")</f>
        <v>0.2009</v>
      </c>
      <c r="V35" s="374" t="s">
        <v>1192</v>
      </c>
      <c r="W35" s="377">
        <v>10</v>
      </c>
      <c r="X35" s="142" t="s">
        <v>1470</v>
      </c>
      <c r="Y35" s="279">
        <v>1.911</v>
      </c>
      <c r="Z35" s="370">
        <f>IFERROR(Table5[[#This Row],[Payment Limit 2018 Q1]]/Table5[[#This Row],[HCPCS code dosage 2018 Q1]],"")</f>
        <v>0.19109999999999999</v>
      </c>
      <c r="AA35" s="374" t="s">
        <v>1192</v>
      </c>
      <c r="AB35" s="381">
        <v>10</v>
      </c>
      <c r="AC35" s="142" t="s">
        <v>1470</v>
      </c>
      <c r="AD35" s="378">
        <v>1.984</v>
      </c>
      <c r="AE35" s="370">
        <f>IFERROR(Table5[[#This Row],[Payment Limit 2018 Q3]]/Table5[[#This Row],[HCPCS code dosage 2018 Q3]],"")</f>
        <v>0.19839999999999999</v>
      </c>
      <c r="AF35" s="275" t="s">
        <v>1192</v>
      </c>
      <c r="AG35" s="122">
        <v>0.1847</v>
      </c>
      <c r="AH35" s="117" t="s">
        <v>1192</v>
      </c>
      <c r="AI35" s="118" t="s">
        <v>1664</v>
      </c>
      <c r="AJ35" s="118" t="s">
        <v>1470</v>
      </c>
      <c r="AK35" s="115">
        <f>IFERROR(VLOOKUP(Table5[[#This Row],[HCPCS code 2019Q3]], ASP2019Q3[], 4, FALSE), "")</f>
        <v>1.891</v>
      </c>
      <c r="AL35" s="72">
        <f>IFERROR(Table5[[#This Row],[Payment Limit 2019Q3]]/Table5[[#This Row],[HCPCS code dosage 2019Q3]], "")</f>
        <v>0.18909999999999999</v>
      </c>
      <c r="AM35" s="130" t="s">
        <v>1192</v>
      </c>
      <c r="AN35" s="130" t="s">
        <v>1664</v>
      </c>
      <c r="AO35" s="130" t="s">
        <v>1470</v>
      </c>
      <c r="AP35" s="126">
        <f>IFERROR(VLOOKUP(Table5[[#This Row],[HCPCS code 2020Q1]], ASP2020Q1[], 4, FALSE), "")</f>
        <v>1.929</v>
      </c>
      <c r="AQ35" s="77">
        <f>IFERROR(Table5[[#This Row],[Payment Limit 2020Q1]]/Table5[[#This Row],[HCPCS code dosage 2020Q1]], "")</f>
        <v>0.19290000000000002</v>
      </c>
      <c r="AR35" s="133" t="s">
        <v>1192</v>
      </c>
      <c r="AS35" s="130" t="s">
        <v>1664</v>
      </c>
      <c r="AT35" s="130" t="s">
        <v>1470</v>
      </c>
      <c r="AU35" s="132">
        <f>IFERROR(VLOOKUP(Table5[[#This Row],[HCPCS code 2020Q3]], ASP2020Q3[], 4, FALSE), "")</f>
        <v>1.845</v>
      </c>
      <c r="AV35" s="72">
        <f>IFERROR(Table5[[#This Row],[Payment limit 2020Q3]]/Table5[[#This Row],[HCPCS code dosage 2020Q3]],"")</f>
        <v>0.1845</v>
      </c>
      <c r="AW35" s="144" t="s">
        <v>1192</v>
      </c>
      <c r="AX35" s="118" t="s">
        <v>1664</v>
      </c>
      <c r="AY35" s="144" t="s">
        <v>1470</v>
      </c>
      <c r="AZ35" s="144">
        <f>IFERROR(VLOOKUP(Table5[[#This Row],[HCPCS code 2021Q1]], ASP2021Q1[], 4, FALSE), "")</f>
        <v>1.681</v>
      </c>
      <c r="BA35" s="122">
        <f>IFERROR(Table5[[#This Row],[Payment limit 2021Q1]]/Table5[[#This Row],[HCPCS code dosage 2021Q1]], "")</f>
        <v>0.1681</v>
      </c>
      <c r="BB35" s="147" t="s">
        <v>1192</v>
      </c>
      <c r="BC35" s="118" t="s">
        <v>1664</v>
      </c>
      <c r="BD35" s="144" t="s">
        <v>1470</v>
      </c>
      <c r="BE35" s="144">
        <f>IFERROR(VLOOKUP(Table5[[#This Row],[HCPCS code 2021Q3]], ASP2021Q3[], 4, FALSE), "")</f>
        <v>1.835</v>
      </c>
      <c r="BF35" s="122">
        <f>IFERROR(Table5[[#This Row],[Payment limit 2021Q3]]/Table5[[#This Row],[HCPCS code dosage 2021Q3]], "")</f>
        <v>0.1835</v>
      </c>
      <c r="BG35" s="147" t="s">
        <v>1192</v>
      </c>
      <c r="BH35" s="118" t="s">
        <v>1664</v>
      </c>
      <c r="BI35" s="144" t="s">
        <v>1470</v>
      </c>
      <c r="BJ35" s="144">
        <f>IFERROR(VLOOKUP(Table5[[#This Row],[HCPCS code 2022Q1]], ASP2022Q1[], 4, FALSE), "")</f>
        <v>1.8640000000000001</v>
      </c>
      <c r="BK35" s="122">
        <f>IFERROR(Table5[[#This Row],[Payment limit 2022Q1]]/Table5[[#This Row],[HCPCS code dosage 2022Q1]], "")</f>
        <v>0.18640000000000001</v>
      </c>
      <c r="BL35" s="144" t="s">
        <v>1192</v>
      </c>
      <c r="BM35" s="184">
        <v>10</v>
      </c>
      <c r="BN35" s="144" t="s">
        <v>1470</v>
      </c>
      <c r="BO35" s="144">
        <f>IFERROR(VLOOKUP(Table5[[#This Row],[HCPCS Code 2022Q3]], ASP2022Q3[], 4, FALSE), "")</f>
        <v>2.0750000000000002</v>
      </c>
      <c r="BP35" s="122">
        <f>IFERROR(Table5[[#This Row],[Payment limit 2022Q3]]/Table5[[#This Row],[HCPCS code dosage 2022Q3]], "")</f>
        <v>0.20750000000000002</v>
      </c>
      <c r="BQ35" s="144" t="s">
        <v>1192</v>
      </c>
      <c r="BR35" s="118">
        <v>10</v>
      </c>
      <c r="BS35" s="144" t="s">
        <v>1470</v>
      </c>
      <c r="BT35" s="144">
        <v>1.6919999999999999</v>
      </c>
      <c r="BU35" s="144">
        <f>IFERROR(Table5[[#This Row],[Payment limit 2023Q1]]/Table5[[#This Row],[HCPCS code dosage 2023Q1]], "")</f>
        <v>0.16919999999999999</v>
      </c>
      <c r="BV35" s="79"/>
    </row>
    <row r="36" spans="1:74" x14ac:dyDescent="0.3">
      <c r="A36" s="62" t="s">
        <v>182</v>
      </c>
      <c r="B36" s="286" t="s">
        <v>1192</v>
      </c>
      <c r="C36" s="286">
        <v>10</v>
      </c>
      <c r="D36" s="307" t="s">
        <v>1470</v>
      </c>
      <c r="E36" s="292">
        <f>IFERROR(VLOOKUP(Table5[[#This Row],[HCPCS code 2016 Q1]], ASP2016Q1[], 4, FALSE), "")</f>
        <v>1.552</v>
      </c>
      <c r="F36" s="303">
        <f>IFERROR(Table5[[#This Row],[Payment Limit 2016Q1]]/Table5[[#This Row],[HCPCS code dosage 2016Q1]], "")</f>
        <v>0.1552</v>
      </c>
      <c r="G36" s="286" t="s">
        <v>1192</v>
      </c>
      <c r="H36" s="286">
        <v>10</v>
      </c>
      <c r="I36" s="307" t="s">
        <v>1470</v>
      </c>
      <c r="J36" s="292">
        <f>IFERROR(VLOOKUP(Table5[[#This Row],[HCPCS code 2016 Q3]], ASP2016Q3[], 4, FALSE), "")</f>
        <v>2.0129999999999999</v>
      </c>
      <c r="K36" s="303">
        <f>IFERROR(Table5[[#This Row],[Payment Limit 2016Q3]]/Table5[[#This Row],[HCPCS code dosage 2016Q3]], "")</f>
        <v>0.20129999999999998</v>
      </c>
      <c r="L36" s="286" t="s">
        <v>1192</v>
      </c>
      <c r="M36" s="286">
        <v>10</v>
      </c>
      <c r="N36" s="307" t="s">
        <v>1470</v>
      </c>
      <c r="O36" s="291">
        <f>IFERROR(VLOOKUP(Table5[[#This Row],[HCPCS code 2017 Q1]], ASP2017Q1[], 4, FALSE), "")</f>
        <v>2.0760000000000001</v>
      </c>
      <c r="P36" s="302">
        <f>IFERROR(Table5[[#This Row],[Payment Limit 2017Q1]]/Table5[[#This Row],[HCPCS code dosage 2017Q1]], "")</f>
        <v>0.20760000000000001</v>
      </c>
      <c r="Q36" s="275" t="s">
        <v>1192</v>
      </c>
      <c r="R36" s="275">
        <v>10</v>
      </c>
      <c r="S36" s="275" t="s">
        <v>1470</v>
      </c>
      <c r="T36" s="279">
        <f>IFERROR(VLOOKUP(Table5[[#This Row],[HCPCS code 2017 Q3]], ASP2017Q3[], 4, FALSE), "")</f>
        <v>2.0089999999999999</v>
      </c>
      <c r="U36" s="279">
        <f>IFERROR(Table5[[#This Row],[Payment Limit 2017Q3]]/Table5[[#This Row],[HCPCS code dosage 2017Q3]], "")</f>
        <v>0.2009</v>
      </c>
      <c r="V36" s="374" t="s">
        <v>1192</v>
      </c>
      <c r="W36" s="377">
        <v>10</v>
      </c>
      <c r="X36" s="142" t="s">
        <v>1470</v>
      </c>
      <c r="Y36" s="279">
        <v>1.911</v>
      </c>
      <c r="Z36" s="370">
        <f>IFERROR(Table5[[#This Row],[Payment Limit 2018 Q1]]/Table5[[#This Row],[HCPCS code dosage 2018 Q1]],"")</f>
        <v>0.19109999999999999</v>
      </c>
      <c r="AA36" s="374" t="s">
        <v>1192</v>
      </c>
      <c r="AB36" s="381">
        <v>10</v>
      </c>
      <c r="AC36" s="142" t="s">
        <v>1470</v>
      </c>
      <c r="AD36" s="378">
        <v>1.984</v>
      </c>
      <c r="AE36" s="370">
        <f>IFERROR(Table5[[#This Row],[Payment Limit 2018 Q3]]/Table5[[#This Row],[HCPCS code dosage 2018 Q3]],"")</f>
        <v>0.19839999999999999</v>
      </c>
      <c r="AF36" s="275" t="s">
        <v>1192</v>
      </c>
      <c r="AG36" s="122">
        <v>0.1847</v>
      </c>
      <c r="AH36" s="117" t="s">
        <v>1192</v>
      </c>
      <c r="AI36" s="118" t="s">
        <v>1664</v>
      </c>
      <c r="AJ36" s="118" t="s">
        <v>1470</v>
      </c>
      <c r="AK36" s="115">
        <f>IFERROR(VLOOKUP(Table5[[#This Row],[HCPCS code 2019Q3]], ASP2019Q3[], 4, FALSE), "")</f>
        <v>1.891</v>
      </c>
      <c r="AL36" s="72">
        <f>IFERROR(Table5[[#This Row],[Payment Limit 2019Q3]]/Table5[[#This Row],[HCPCS code dosage 2019Q3]], "")</f>
        <v>0.18909999999999999</v>
      </c>
      <c r="AM36" s="130" t="s">
        <v>1192</v>
      </c>
      <c r="AN36" s="130" t="s">
        <v>1664</v>
      </c>
      <c r="AO36" s="130" t="s">
        <v>1470</v>
      </c>
      <c r="AP36" s="126">
        <f>IFERROR(VLOOKUP(Table5[[#This Row],[HCPCS code 2020Q1]], ASP2020Q1[], 4, FALSE), "")</f>
        <v>1.929</v>
      </c>
      <c r="AQ36" s="77">
        <f>IFERROR(Table5[[#This Row],[Payment Limit 2020Q1]]/Table5[[#This Row],[HCPCS code dosage 2020Q1]], "")</f>
        <v>0.19290000000000002</v>
      </c>
      <c r="AR36" s="133" t="s">
        <v>1192</v>
      </c>
      <c r="AS36" s="130" t="s">
        <v>1664</v>
      </c>
      <c r="AT36" s="130" t="s">
        <v>1470</v>
      </c>
      <c r="AU36" s="132">
        <f>IFERROR(VLOOKUP(Table5[[#This Row],[HCPCS code 2020Q3]], ASP2020Q3[], 4, FALSE), "")</f>
        <v>1.845</v>
      </c>
      <c r="AV36" s="72">
        <f>IFERROR(Table5[[#This Row],[Payment limit 2020Q3]]/Table5[[#This Row],[HCPCS code dosage 2020Q3]],"")</f>
        <v>0.1845</v>
      </c>
      <c r="AW36" s="144" t="s">
        <v>1192</v>
      </c>
      <c r="AX36" s="118" t="s">
        <v>1664</v>
      </c>
      <c r="AY36" s="144" t="s">
        <v>1470</v>
      </c>
      <c r="AZ36" s="144">
        <f>IFERROR(VLOOKUP(Table5[[#This Row],[HCPCS code 2021Q1]], ASP2021Q1[], 4, FALSE), "")</f>
        <v>1.681</v>
      </c>
      <c r="BA36" s="122">
        <f>IFERROR(Table5[[#This Row],[Payment limit 2021Q1]]/Table5[[#This Row],[HCPCS code dosage 2021Q1]], "")</f>
        <v>0.1681</v>
      </c>
      <c r="BB36" s="147" t="s">
        <v>1192</v>
      </c>
      <c r="BC36" s="118" t="s">
        <v>1664</v>
      </c>
      <c r="BD36" s="144" t="s">
        <v>1470</v>
      </c>
      <c r="BE36" s="144">
        <f>IFERROR(VLOOKUP(Table5[[#This Row],[HCPCS code 2021Q3]], ASP2021Q3[], 4, FALSE), "")</f>
        <v>1.835</v>
      </c>
      <c r="BF36" s="122">
        <f>IFERROR(Table5[[#This Row],[Payment limit 2021Q3]]/Table5[[#This Row],[HCPCS code dosage 2021Q3]], "")</f>
        <v>0.1835</v>
      </c>
      <c r="BG36" s="147" t="s">
        <v>1192</v>
      </c>
      <c r="BH36" s="118" t="s">
        <v>1664</v>
      </c>
      <c r="BI36" s="144" t="s">
        <v>1470</v>
      </c>
      <c r="BJ36" s="144">
        <f>IFERROR(VLOOKUP(Table5[[#This Row],[HCPCS code 2022Q1]], ASP2022Q1[], 4, FALSE), "")</f>
        <v>1.8640000000000001</v>
      </c>
      <c r="BK36" s="122">
        <f>IFERROR(Table5[[#This Row],[Payment limit 2022Q1]]/Table5[[#This Row],[HCPCS code dosage 2022Q1]], "")</f>
        <v>0.18640000000000001</v>
      </c>
      <c r="BL36" s="144" t="s">
        <v>1192</v>
      </c>
      <c r="BM36" s="184">
        <v>10</v>
      </c>
      <c r="BN36" s="144" t="s">
        <v>1470</v>
      </c>
      <c r="BO36" s="144">
        <f>IFERROR(VLOOKUP(Table5[[#This Row],[HCPCS Code 2022Q3]], ASP2022Q3[], 4, FALSE), "")</f>
        <v>2.0750000000000002</v>
      </c>
      <c r="BP36" s="122">
        <f>IFERROR(Table5[[#This Row],[Payment limit 2022Q3]]/Table5[[#This Row],[HCPCS code dosage 2022Q3]], "")</f>
        <v>0.20750000000000002</v>
      </c>
      <c r="BQ36" s="144" t="s">
        <v>1192</v>
      </c>
      <c r="BR36" s="118">
        <v>10</v>
      </c>
      <c r="BS36" s="144" t="s">
        <v>1470</v>
      </c>
      <c r="BT36" s="144">
        <v>1.6919999999999999</v>
      </c>
      <c r="BU36" s="144">
        <f>IFERROR(Table5[[#This Row],[Payment limit 2023Q1]]/Table5[[#This Row],[HCPCS code dosage 2023Q1]], "")</f>
        <v>0.16919999999999999</v>
      </c>
      <c r="BV36" s="79"/>
    </row>
    <row r="37" spans="1:74" x14ac:dyDescent="0.3">
      <c r="A37" s="69" t="s">
        <v>1912</v>
      </c>
      <c r="B37" s="273" t="s">
        <v>1194</v>
      </c>
      <c r="C37" s="273">
        <v>1</v>
      </c>
      <c r="D37" s="275" t="s">
        <v>1470</v>
      </c>
      <c r="E37" s="280">
        <f>IFERROR(VLOOKUP(Table5[[#This Row],[HCPCS code 2016 Q1]], ASP2016Q1[], 4, FALSE), "")</f>
        <v>17.536000000000001</v>
      </c>
      <c r="F37" s="305">
        <f>IFERROR(Table5[[#This Row],[Payment Limit 2016Q1]]/Table5[[#This Row],[HCPCS code dosage 2016Q1]], "")</f>
        <v>17.536000000000001</v>
      </c>
      <c r="G37" s="273" t="s">
        <v>1194</v>
      </c>
      <c r="H37" s="273">
        <v>1</v>
      </c>
      <c r="I37" s="275" t="s">
        <v>1470</v>
      </c>
      <c r="J37" s="280">
        <f>IFERROR(VLOOKUP(Table5[[#This Row],[HCPCS code 2016 Q3]], ASP2016Q3[], 4, FALSE), "")</f>
        <v>21.937000000000001</v>
      </c>
      <c r="K37" s="305">
        <f>IFERROR(Table5[[#This Row],[Payment Limit 2016Q3]]/Table5[[#This Row],[HCPCS code dosage 2016Q3]], "")</f>
        <v>21.937000000000001</v>
      </c>
      <c r="L37" s="273" t="s">
        <v>1194</v>
      </c>
      <c r="M37" s="273">
        <v>1</v>
      </c>
      <c r="N37" s="275" t="s">
        <v>1470</v>
      </c>
      <c r="O37" s="291">
        <f>IFERROR(VLOOKUP(Table5[[#This Row],[HCPCS code 2017 Q1]], ASP2017Q1[], 4, FALSE), "")</f>
        <v>23.198</v>
      </c>
      <c r="P37" s="302">
        <f>IFERROR(Table5[[#This Row],[Payment Limit 2017Q1]]/Table5[[#This Row],[HCPCS code dosage 2017Q1]], "")</f>
        <v>23.198</v>
      </c>
      <c r="Q37" s="142" t="s">
        <v>1194</v>
      </c>
      <c r="R37" s="142">
        <v>1</v>
      </c>
      <c r="S37" s="275" t="s">
        <v>1470</v>
      </c>
      <c r="T37" s="279">
        <f>IFERROR(VLOOKUP(Table5[[#This Row],[HCPCS code 2017 Q3]], ASP2017Q3[], 4, FALSE), "")</f>
        <v>21.219000000000001</v>
      </c>
      <c r="U37" s="279">
        <f>IFERROR(Table5[[#This Row],[Payment Limit 2017Q3]]/Table5[[#This Row],[HCPCS code dosage 2017Q3]], "")</f>
        <v>21.219000000000001</v>
      </c>
      <c r="V37" s="374" t="s">
        <v>1194</v>
      </c>
      <c r="W37" s="377">
        <v>1</v>
      </c>
      <c r="X37" s="142" t="s">
        <v>1470</v>
      </c>
      <c r="Y37" s="279">
        <v>21.18</v>
      </c>
      <c r="Z37" s="370">
        <f>IFERROR(Table5[[#This Row],[Payment Limit 2018 Q1]]/Table5[[#This Row],[HCPCS code dosage 2018 Q1]],"")</f>
        <v>21.18</v>
      </c>
      <c r="AA37" s="374" t="s">
        <v>1194</v>
      </c>
      <c r="AB37" s="381">
        <v>1</v>
      </c>
      <c r="AC37" s="142" t="s">
        <v>1470</v>
      </c>
      <c r="AD37" s="378">
        <v>22.273</v>
      </c>
      <c r="AE37" s="370">
        <f>IFERROR(Table5[[#This Row],[Payment Limit 2018 Q3]]/Table5[[#This Row],[HCPCS code dosage 2018 Q3]],"")</f>
        <v>22.273</v>
      </c>
      <c r="AF37" s="142"/>
      <c r="AG37" s="122"/>
      <c r="AH37" s="117"/>
      <c r="AI37" s="118"/>
      <c r="AJ37" s="118"/>
      <c r="AK37" s="139" t="str">
        <f>IFERROR(VLOOKUP(Table5[[#This Row],[HCPCS code 2019Q3]], ASP2019Q3[], 4, FALSE), "")</f>
        <v/>
      </c>
      <c r="AL37" s="72" t="str">
        <f>IFERROR(Table5[[#This Row],[Payment Limit 2019Q3]]/Table5[[#This Row],[HCPCS code dosage 2019Q3]], "")</f>
        <v/>
      </c>
      <c r="AM37" s="130"/>
      <c r="AN37" s="130"/>
      <c r="AO37" s="130"/>
      <c r="AP37" s="126" t="str">
        <f>IFERROR(VLOOKUP(Table5[[#This Row],[HCPCS code 2020Q1]], ASP2020Q1[], 4, FALSE), "")</f>
        <v/>
      </c>
      <c r="AQ37" s="77" t="str">
        <f>IFERROR(Table5[[#This Row],[Payment Limit 2020Q1]]/Table5[[#This Row],[HCPCS code dosage 2020Q1]], "")</f>
        <v/>
      </c>
      <c r="AR37" s="133" t="s">
        <v>1194</v>
      </c>
      <c r="AS37" s="130">
        <v>1</v>
      </c>
      <c r="AT37" s="130" t="s">
        <v>1470</v>
      </c>
      <c r="AU37" s="132">
        <f>IFERROR(VLOOKUP(Table5[[#This Row],[HCPCS code 2020Q3]], ASP2020Q3[], 4, FALSE), "")</f>
        <v>20.652000000000001</v>
      </c>
      <c r="AV37" s="72">
        <f>IFERROR(Table5[[#This Row],[Payment limit 2020Q3]]/Table5[[#This Row],[HCPCS code dosage 2020Q3]],"")</f>
        <v>20.652000000000001</v>
      </c>
      <c r="AW37" s="144" t="s">
        <v>1194</v>
      </c>
      <c r="AX37" s="118">
        <v>1</v>
      </c>
      <c r="AY37" s="144" t="s">
        <v>1470</v>
      </c>
      <c r="AZ37" s="144">
        <f>IFERROR(VLOOKUP(Table5[[#This Row],[HCPCS code 2021Q1]], ASP2021Q1[], 4, FALSE), "")</f>
        <v>21.023</v>
      </c>
      <c r="BA37" s="122">
        <f>IFERROR(Table5[[#This Row],[Payment limit 2021Q1]]/Table5[[#This Row],[HCPCS code dosage 2021Q1]], "")</f>
        <v>21.023</v>
      </c>
      <c r="BB37" s="147" t="s">
        <v>1194</v>
      </c>
      <c r="BC37" s="118">
        <v>1</v>
      </c>
      <c r="BD37" s="144" t="s">
        <v>1470</v>
      </c>
      <c r="BE37" s="144">
        <f>IFERROR(VLOOKUP(Table5[[#This Row],[HCPCS code 2021Q3]], ASP2021Q3[], 4, FALSE), "")</f>
        <v>18.678999999999998</v>
      </c>
      <c r="BF37" s="122">
        <f>IFERROR(Table5[[#This Row],[Payment limit 2021Q3]]/Table5[[#This Row],[HCPCS code dosage 2021Q3]], "")</f>
        <v>18.678999999999998</v>
      </c>
      <c r="BG37" s="147" t="s">
        <v>1194</v>
      </c>
      <c r="BH37" s="118">
        <v>1</v>
      </c>
      <c r="BI37" s="144" t="s">
        <v>1470</v>
      </c>
      <c r="BJ37" s="144">
        <f>IFERROR(VLOOKUP(Table5[[#This Row],[HCPCS code 2022Q1]], ASP2022Q1[], 4, FALSE), "")</f>
        <v>15.084</v>
      </c>
      <c r="BK37" s="122">
        <f>IFERROR(Table5[[#This Row],[Payment limit 2022Q1]]/Table5[[#This Row],[HCPCS code dosage 2022Q1]], "")</f>
        <v>15.084</v>
      </c>
      <c r="BL37" s="144" t="s">
        <v>1194</v>
      </c>
      <c r="BM37" s="184">
        <v>1</v>
      </c>
      <c r="BN37" s="144" t="s">
        <v>1470</v>
      </c>
      <c r="BO37" s="144">
        <f>IFERROR(VLOOKUP(Table5[[#This Row],[HCPCS Code 2022Q3]], ASP2022Q3[], 4, FALSE), "")</f>
        <v>21.658000000000001</v>
      </c>
      <c r="BP37" s="122">
        <f>IFERROR(Table5[[#This Row],[Payment limit 2022Q3]]/Table5[[#This Row],[HCPCS code dosage 2022Q3]], "")</f>
        <v>21.658000000000001</v>
      </c>
      <c r="BQ37" s="144" t="s">
        <v>1194</v>
      </c>
      <c r="BR37" s="118">
        <v>1</v>
      </c>
      <c r="BS37" s="144" t="s">
        <v>1470</v>
      </c>
      <c r="BT37" s="144">
        <v>23.036999999999999</v>
      </c>
      <c r="BU37" s="144">
        <f>IFERROR(Table5[[#This Row],[Payment limit 2023Q1]]/Table5[[#This Row],[HCPCS code dosage 2023Q1]], "")</f>
        <v>23.036999999999999</v>
      </c>
      <c r="BV37" s="79"/>
    </row>
    <row r="38" spans="1:74" x14ac:dyDescent="0.3">
      <c r="A38" s="62" t="s">
        <v>95</v>
      </c>
      <c r="B38" s="286"/>
      <c r="C38" s="286"/>
      <c r="D38" s="307"/>
      <c r="E38" s="292" t="str">
        <f>IFERROR(VLOOKUP(Table5[[#This Row],[HCPCS code 2016 Q1]], ASP2016Q1[], 4, FALSE), "")</f>
        <v/>
      </c>
      <c r="F38" s="303" t="str">
        <f>IFERROR(Table5[[#This Row],[Payment Limit 2016Q1]]/Table5[[#This Row],[HCPCS code dosage 2016Q1]], "")</f>
        <v/>
      </c>
      <c r="G38" s="286"/>
      <c r="H38" s="286"/>
      <c r="I38" s="307"/>
      <c r="J38" s="292" t="str">
        <f>IFERROR(VLOOKUP(Table5[[#This Row],[HCPCS code 2016 Q3]], ASP2016Q3[], 4, FALSE), "")</f>
        <v/>
      </c>
      <c r="K38" s="303" t="str">
        <f>IFERROR(Table5[[#This Row],[Payment Limit 2016Q3]]/Table5[[#This Row],[HCPCS code dosage 2016Q3]], "")</f>
        <v/>
      </c>
      <c r="L38" s="286"/>
      <c r="M38" s="286"/>
      <c r="N38" s="307"/>
      <c r="O38" s="291" t="str">
        <f>IFERROR(VLOOKUP(Table5[[#This Row],[HCPCS code 2017 Q1]], ASP2017Q1[], 4, FALSE), "")</f>
        <v/>
      </c>
      <c r="P38" s="302" t="str">
        <f>IFERROR(Table5[[#This Row],[Payment Limit 2017Q1]]/Table5[[#This Row],[HCPCS code dosage 2017Q1]], "")</f>
        <v/>
      </c>
      <c r="Q38" s="275" t="s">
        <v>1537</v>
      </c>
      <c r="R38" s="275" t="s">
        <v>2434</v>
      </c>
      <c r="S38" s="275"/>
      <c r="T38" s="279" t="str">
        <f>IFERROR(VLOOKUP(Table5[[#This Row],[HCPCS code 2017 Q3]], ASP2017Q3[], 4, FALSE), "")</f>
        <v/>
      </c>
      <c r="U38" s="279" t="str">
        <f>IFERROR(Table5[[#This Row],[Payment Limit 2017Q3]]/Table5[[#This Row],[HCPCS code dosage 2017Q3]], "")</f>
        <v/>
      </c>
      <c r="V38" s="374"/>
      <c r="W38" s="377"/>
      <c r="X38" s="142"/>
      <c r="Y38" s="279"/>
      <c r="Z38" s="370"/>
      <c r="AA38" s="374"/>
      <c r="AB38" s="381"/>
      <c r="AC38" s="142"/>
      <c r="AD38" s="378"/>
      <c r="AE38" s="370"/>
      <c r="AF38" s="275" t="s">
        <v>1537</v>
      </c>
      <c r="AG38" s="122"/>
      <c r="AH38" s="117" t="s">
        <v>1537</v>
      </c>
      <c r="AI38" s="118">
        <v>0</v>
      </c>
      <c r="AJ38" s="118">
        <v>0</v>
      </c>
      <c r="AK38" s="115" t="str">
        <f>IFERROR(VLOOKUP(Table5[[#This Row],[HCPCS code 2019Q3]], ASP2019Q3[], 4, FALSE), "")</f>
        <v/>
      </c>
      <c r="AL38" s="72" t="str">
        <f>IFERROR(Table5[[#This Row],[Payment Limit 2019Q3]]/Table5[[#This Row],[HCPCS code dosage 2019Q3]], "")</f>
        <v/>
      </c>
      <c r="AM38" s="130" t="s">
        <v>1537</v>
      </c>
      <c r="AN38" s="130">
        <v>0</v>
      </c>
      <c r="AO38" s="130">
        <v>0</v>
      </c>
      <c r="AP38" s="126" t="str">
        <f>IFERROR(VLOOKUP(Table5[[#This Row],[HCPCS code 2020Q1]], ASP2020Q1[], 4, FALSE), "")</f>
        <v/>
      </c>
      <c r="AQ38" s="77" t="str">
        <f>IFERROR(Table5[[#This Row],[Payment Limit 2020Q1]]/Table5[[#This Row],[HCPCS code dosage 2020Q1]], "")</f>
        <v/>
      </c>
      <c r="AR38" s="133" t="s">
        <v>1537</v>
      </c>
      <c r="AS38" s="130">
        <v>0</v>
      </c>
      <c r="AT38" s="130">
        <v>0</v>
      </c>
      <c r="AU38" s="132" t="str">
        <f>IFERROR(VLOOKUP(Table5[[#This Row],[HCPCS code 2020Q3]], ASP2020Q3[], 4, FALSE), "")</f>
        <v/>
      </c>
      <c r="AV38" s="72" t="str">
        <f>IFERROR(Table5[[#This Row],[Payment limit 2020Q3]]/Table5[[#This Row],[HCPCS code dosage 2020Q3]],"")</f>
        <v/>
      </c>
      <c r="AW38" s="144" t="s">
        <v>1537</v>
      </c>
      <c r="AX38" s="118">
        <v>0</v>
      </c>
      <c r="AY38" s="144">
        <v>0</v>
      </c>
      <c r="AZ38" s="144" t="str">
        <f>IFERROR(VLOOKUP(Table5[[#This Row],[HCPCS code 2021Q1]], ASP2021Q1[], 4, FALSE), "")</f>
        <v/>
      </c>
      <c r="BA38" s="122" t="str">
        <f>IFERROR(Table5[[#This Row],[Payment limit 2021Q1]]/Table5[[#This Row],[HCPCS code dosage 2021Q1]], "")</f>
        <v/>
      </c>
      <c r="BB38" s="147" t="s">
        <v>1537</v>
      </c>
      <c r="BC38" s="118">
        <v>0</v>
      </c>
      <c r="BD38" s="144">
        <v>0</v>
      </c>
      <c r="BE38" s="144" t="str">
        <f>IFERROR(VLOOKUP(Table5[[#This Row],[HCPCS code 2021Q3]], ASP2021Q3[], 4, FALSE), "")</f>
        <v/>
      </c>
      <c r="BF38" s="122" t="str">
        <f>IFERROR(Table5[[#This Row],[Payment limit 2021Q3]]/Table5[[#This Row],[HCPCS code dosage 2021Q3]], "")</f>
        <v/>
      </c>
      <c r="BG38" s="147" t="s">
        <v>1537</v>
      </c>
      <c r="BH38" s="118">
        <v>0</v>
      </c>
      <c r="BI38" s="144">
        <v>0</v>
      </c>
      <c r="BJ38" s="144" t="str">
        <f>IFERROR(VLOOKUP(Table5[[#This Row],[HCPCS code 2022Q1]], ASP2022Q1[], 4, FALSE), "")</f>
        <v/>
      </c>
      <c r="BK38" s="122" t="str">
        <f>IFERROR(Table5[[#This Row],[Payment limit 2022Q1]]/Table5[[#This Row],[HCPCS code dosage 2022Q1]], "")</f>
        <v/>
      </c>
      <c r="BL38" s="144" t="s">
        <v>1537</v>
      </c>
      <c r="BM38" s="184">
        <v>0</v>
      </c>
      <c r="BN38" s="144"/>
      <c r="BO38" s="144" t="str">
        <f>IFERROR(VLOOKUP(Table5[[#This Row],[HCPCS Code 2022Q3]], ASP2022Q3[], 4, FALSE), "")</f>
        <v/>
      </c>
      <c r="BP38" s="122" t="str">
        <f>IFERROR(Table5[[#This Row],[Payment limit 2022Q3]]/Table5[[#This Row],[HCPCS code dosage 2022Q3]], "")</f>
        <v/>
      </c>
      <c r="BQ38" s="144" t="s">
        <v>1537</v>
      </c>
      <c r="BR38" s="118"/>
      <c r="BS38" s="144"/>
      <c r="BT38" s="144" t="s">
        <v>2365</v>
      </c>
      <c r="BU38" s="144" t="str">
        <f>IFERROR(Table5[[#This Row],[Payment limit 2023Q1]]/Table5[[#This Row],[HCPCS code dosage 2023Q1]], "")</f>
        <v/>
      </c>
      <c r="BV38" s="79" t="s">
        <v>1691</v>
      </c>
    </row>
    <row r="39" spans="1:74" x14ac:dyDescent="0.3">
      <c r="A39" s="62" t="s">
        <v>88</v>
      </c>
      <c r="B39" s="286" t="s">
        <v>1196</v>
      </c>
      <c r="C39" s="286">
        <v>100</v>
      </c>
      <c r="D39" s="307" t="s">
        <v>1470</v>
      </c>
      <c r="E39" s="292">
        <f>IFERROR(VLOOKUP(Table5[[#This Row],[HCPCS code 2016 Q1]], ASP2016Q1[], 4, FALSE), "")</f>
        <v>48.671999999999997</v>
      </c>
      <c r="F39" s="303">
        <f>IFERROR(Table5[[#This Row],[Payment Limit 2016Q1]]/Table5[[#This Row],[HCPCS code dosage 2016Q1]], "")</f>
        <v>0.48671999999999999</v>
      </c>
      <c r="G39" s="286" t="s">
        <v>1196</v>
      </c>
      <c r="H39" s="286">
        <v>100</v>
      </c>
      <c r="I39" s="307" t="s">
        <v>1470</v>
      </c>
      <c r="J39" s="292">
        <f>IFERROR(VLOOKUP(Table5[[#This Row],[HCPCS code 2016 Q3]], ASP2016Q3[], 4, FALSE), "")</f>
        <v>42.188000000000002</v>
      </c>
      <c r="K39" s="303">
        <f>IFERROR(Table5[[#This Row],[Payment Limit 2016Q3]]/Table5[[#This Row],[HCPCS code dosage 2016Q3]], "")</f>
        <v>0.42188000000000003</v>
      </c>
      <c r="L39" s="286" t="s">
        <v>1196</v>
      </c>
      <c r="M39" s="286">
        <v>100</v>
      </c>
      <c r="N39" s="307" t="s">
        <v>1470</v>
      </c>
      <c r="O39" s="291">
        <f>IFERROR(VLOOKUP(Table5[[#This Row],[HCPCS code 2017 Q1]], ASP2017Q1[], 4, FALSE), "")</f>
        <v>42.31</v>
      </c>
      <c r="P39" s="302">
        <f>IFERROR(Table5[[#This Row],[Payment Limit 2017Q1]]/Table5[[#This Row],[HCPCS code dosage 2017Q1]], "")</f>
        <v>0.42310000000000003</v>
      </c>
      <c r="Q39" s="275" t="s">
        <v>1196</v>
      </c>
      <c r="R39" s="275">
        <v>100</v>
      </c>
      <c r="S39" s="275" t="s">
        <v>1470</v>
      </c>
      <c r="T39" s="279">
        <f>IFERROR(VLOOKUP(Table5[[#This Row],[HCPCS code 2017 Q3]], ASP2017Q3[], 4, FALSE), "")</f>
        <v>42.158999999999999</v>
      </c>
      <c r="U39" s="279">
        <f>IFERROR(Table5[[#This Row],[Payment Limit 2017Q3]]/Table5[[#This Row],[HCPCS code dosage 2017Q3]], "")</f>
        <v>0.42158999999999996</v>
      </c>
      <c r="V39" s="374" t="s">
        <v>1196</v>
      </c>
      <c r="W39" s="377">
        <v>100</v>
      </c>
      <c r="X39" s="142" t="s">
        <v>1470</v>
      </c>
      <c r="Y39" s="279">
        <v>42.274000000000001</v>
      </c>
      <c r="Z39" s="370">
        <f>IFERROR(Table5[[#This Row],[Payment Limit 2018 Q1]]/Table5[[#This Row],[HCPCS code dosage 2018 Q1]],"")</f>
        <v>0.42274</v>
      </c>
      <c r="AA39" s="374" t="s">
        <v>1196</v>
      </c>
      <c r="AB39" s="381">
        <v>100</v>
      </c>
      <c r="AC39" s="142" t="s">
        <v>1470</v>
      </c>
      <c r="AD39" s="378">
        <v>41.826999999999998</v>
      </c>
      <c r="AE39" s="370">
        <f>IFERROR(Table5[[#This Row],[Payment Limit 2018 Q3]]/Table5[[#This Row],[HCPCS code dosage 2018 Q3]],"")</f>
        <v>0.41826999999999998</v>
      </c>
      <c r="AF39" s="275" t="s">
        <v>1196</v>
      </c>
      <c r="AG39" s="122">
        <v>0.37822</v>
      </c>
      <c r="AH39" s="117" t="s">
        <v>1196</v>
      </c>
      <c r="AI39" s="118" t="s">
        <v>1677</v>
      </c>
      <c r="AJ39" s="118" t="s">
        <v>1470</v>
      </c>
      <c r="AK39" s="115">
        <f>IFERROR(VLOOKUP(Table5[[#This Row],[HCPCS code 2019Q3]], ASP2019Q3[], 4, FALSE), "")</f>
        <v>34.726999999999997</v>
      </c>
      <c r="AL39" s="72">
        <f>IFERROR(Table5[[#This Row],[Payment Limit 2019Q3]]/Table5[[#This Row],[HCPCS code dosage 2019Q3]], "")</f>
        <v>0.34726999999999997</v>
      </c>
      <c r="AM39" s="130" t="s">
        <v>1196</v>
      </c>
      <c r="AN39" s="130" t="s">
        <v>1677</v>
      </c>
      <c r="AO39" s="130" t="s">
        <v>1470</v>
      </c>
      <c r="AP39" s="126">
        <f>IFERROR(VLOOKUP(Table5[[#This Row],[HCPCS code 2020Q1]], ASP2020Q1[], 4, FALSE), "")</f>
        <v>33.234999999999999</v>
      </c>
      <c r="AQ39" s="77">
        <f>IFERROR(Table5[[#This Row],[Payment Limit 2020Q1]]/Table5[[#This Row],[HCPCS code dosage 2020Q1]], "")</f>
        <v>0.33234999999999998</v>
      </c>
      <c r="AR39" s="133" t="s">
        <v>1196</v>
      </c>
      <c r="AS39" s="130" t="s">
        <v>1677</v>
      </c>
      <c r="AT39" s="130" t="s">
        <v>1470</v>
      </c>
      <c r="AU39" s="132">
        <f>IFERROR(VLOOKUP(Table5[[#This Row],[HCPCS code 2020Q3]], ASP2020Q3[], 4, FALSE), "")</f>
        <v>34.566000000000003</v>
      </c>
      <c r="AV39" s="72">
        <f>IFERROR(Table5[[#This Row],[Payment limit 2020Q3]]/Table5[[#This Row],[HCPCS code dosage 2020Q3]],"")</f>
        <v>0.34566000000000002</v>
      </c>
      <c r="AW39" s="144" t="s">
        <v>1196</v>
      </c>
      <c r="AX39" s="118" t="s">
        <v>1677</v>
      </c>
      <c r="AY39" s="144" t="s">
        <v>1470</v>
      </c>
      <c r="AZ39" s="144">
        <f>IFERROR(VLOOKUP(Table5[[#This Row],[HCPCS code 2021Q1]], ASP2021Q1[], 4, FALSE), "")</f>
        <v>31.164000000000001</v>
      </c>
      <c r="BA39" s="122">
        <f>IFERROR(Table5[[#This Row],[Payment limit 2021Q1]]/Table5[[#This Row],[HCPCS code dosage 2021Q1]], "")</f>
        <v>0.31164000000000003</v>
      </c>
      <c r="BB39" s="147" t="s">
        <v>1196</v>
      </c>
      <c r="BC39" s="118" t="s">
        <v>1677</v>
      </c>
      <c r="BD39" s="144" t="s">
        <v>1470</v>
      </c>
      <c r="BE39" s="144">
        <f>IFERROR(VLOOKUP(Table5[[#This Row],[HCPCS code 2021Q3]], ASP2021Q3[], 4, FALSE), "")</f>
        <v>30.997</v>
      </c>
      <c r="BF39" s="122">
        <f>IFERROR(Table5[[#This Row],[Payment limit 2021Q3]]/Table5[[#This Row],[HCPCS code dosage 2021Q3]], "")</f>
        <v>0.30997000000000002</v>
      </c>
      <c r="BG39" s="147" t="s">
        <v>1196</v>
      </c>
      <c r="BH39" s="118" t="s">
        <v>1677</v>
      </c>
      <c r="BI39" s="144" t="s">
        <v>1470</v>
      </c>
      <c r="BJ39" s="144">
        <f>IFERROR(VLOOKUP(Table5[[#This Row],[HCPCS code 2022Q1]], ASP2022Q1[], 4, FALSE), "")</f>
        <v>27.472999999999999</v>
      </c>
      <c r="BK39" s="122">
        <f>IFERROR(Table5[[#This Row],[Payment limit 2022Q1]]/Table5[[#This Row],[HCPCS code dosage 2022Q1]], "")</f>
        <v>0.27472999999999997</v>
      </c>
      <c r="BL39" s="144" t="s">
        <v>1196</v>
      </c>
      <c r="BM39" s="184">
        <v>100</v>
      </c>
      <c r="BN39" s="144" t="s">
        <v>1470</v>
      </c>
      <c r="BO39" s="144">
        <f>IFERROR(VLOOKUP(Table5[[#This Row],[HCPCS Code 2022Q3]], ASP2022Q3[], 4, FALSE), "")</f>
        <v>26.87</v>
      </c>
      <c r="BP39" s="122">
        <f>IFERROR(Table5[[#This Row],[Payment limit 2022Q3]]/Table5[[#This Row],[HCPCS code dosage 2022Q3]], "")</f>
        <v>0.26869999999999999</v>
      </c>
      <c r="BQ39" s="144" t="s">
        <v>1196</v>
      </c>
      <c r="BR39" s="118">
        <v>100</v>
      </c>
      <c r="BS39" s="144" t="s">
        <v>1470</v>
      </c>
      <c r="BT39" s="144">
        <v>22.131</v>
      </c>
      <c r="BU39" s="144">
        <f>IFERROR(Table5[[#This Row],[Payment limit 2023Q1]]/Table5[[#This Row],[HCPCS code dosage 2023Q1]], "")</f>
        <v>0.22131000000000001</v>
      </c>
      <c r="BV39" s="79"/>
    </row>
    <row r="40" spans="1:74" x14ac:dyDescent="0.3">
      <c r="A40" s="62" t="s">
        <v>28</v>
      </c>
      <c r="B40" s="286" t="s">
        <v>1124</v>
      </c>
      <c r="C40" s="286">
        <v>25</v>
      </c>
      <c r="D40" s="307" t="s">
        <v>1470</v>
      </c>
      <c r="E40" s="292">
        <f>IFERROR(VLOOKUP(Table5[[#This Row],[HCPCS code 2016 Q1]], ASP2016Q1[], 4, FALSE), "")</f>
        <v>3.6749999999999998</v>
      </c>
      <c r="F40" s="303">
        <f>IFERROR(Table5[[#This Row],[Payment Limit 2016Q1]]/Table5[[#This Row],[HCPCS code dosage 2016Q1]], "")</f>
        <v>0.14699999999999999</v>
      </c>
      <c r="G40" s="286" t="s">
        <v>1124</v>
      </c>
      <c r="H40" s="286">
        <v>25</v>
      </c>
      <c r="I40" s="307" t="s">
        <v>1470</v>
      </c>
      <c r="J40" s="292">
        <f>IFERROR(VLOOKUP(Table5[[#This Row],[HCPCS code 2016 Q3]], ASP2016Q3[], 4, FALSE), "")</f>
        <v>3.2490000000000001</v>
      </c>
      <c r="K40" s="303">
        <f>IFERROR(Table5[[#This Row],[Payment Limit 2016Q3]]/Table5[[#This Row],[HCPCS code dosage 2016Q3]], "")</f>
        <v>0.12995999999999999</v>
      </c>
      <c r="L40" s="286" t="s">
        <v>1124</v>
      </c>
      <c r="M40" s="286">
        <v>25</v>
      </c>
      <c r="N40" s="307" t="s">
        <v>1470</v>
      </c>
      <c r="O40" s="291">
        <f>IFERROR(VLOOKUP(Table5[[#This Row],[HCPCS code 2017 Q1]], ASP2017Q1[], 4, FALSE), "")</f>
        <v>3.2589999999999999</v>
      </c>
      <c r="P40" s="302">
        <f>IFERROR(Table5[[#This Row],[Payment Limit 2017Q1]]/Table5[[#This Row],[HCPCS code dosage 2017Q1]], "")</f>
        <v>0.13036</v>
      </c>
      <c r="Q40" s="275" t="s">
        <v>1124</v>
      </c>
      <c r="R40" s="275">
        <v>25</v>
      </c>
      <c r="S40" s="275" t="s">
        <v>1470</v>
      </c>
      <c r="T40" s="279">
        <f>IFERROR(VLOOKUP(Table5[[#This Row],[HCPCS code 2017 Q3]], ASP2017Q3[], 4, FALSE), "")</f>
        <v>3.508</v>
      </c>
      <c r="U40" s="279">
        <f>IFERROR(Table5[[#This Row],[Payment Limit 2017Q3]]/Table5[[#This Row],[HCPCS code dosage 2017Q3]], "")</f>
        <v>0.14032</v>
      </c>
      <c r="V40" s="374" t="s">
        <v>1124</v>
      </c>
      <c r="W40" s="377">
        <v>25</v>
      </c>
      <c r="X40" s="142" t="s">
        <v>1470</v>
      </c>
      <c r="Y40" s="279">
        <v>3.4279999999999999</v>
      </c>
      <c r="Z40" s="370">
        <f>IFERROR(Table5[[#This Row],[Payment Limit 2018 Q1]]/Table5[[#This Row],[HCPCS code dosage 2018 Q1]],"")</f>
        <v>0.13711999999999999</v>
      </c>
      <c r="AA40" s="374" t="s">
        <v>1124</v>
      </c>
      <c r="AB40" s="381">
        <v>25</v>
      </c>
      <c r="AC40" s="142" t="s">
        <v>1470</v>
      </c>
      <c r="AD40" s="378">
        <v>4.0460000000000003</v>
      </c>
      <c r="AE40" s="370">
        <f>IFERROR(Table5[[#This Row],[Payment Limit 2018 Q3]]/Table5[[#This Row],[HCPCS code dosage 2018 Q3]],"")</f>
        <v>0.16184000000000001</v>
      </c>
      <c r="AF40" s="275" t="s">
        <v>1124</v>
      </c>
      <c r="AG40" s="122">
        <v>0.18160000000000001</v>
      </c>
      <c r="AH40" s="117" t="s">
        <v>1124</v>
      </c>
      <c r="AI40" s="118" t="s">
        <v>1669</v>
      </c>
      <c r="AJ40" s="118" t="s">
        <v>1470</v>
      </c>
      <c r="AK40" s="115">
        <f>IFERROR(VLOOKUP(Table5[[#This Row],[HCPCS code 2019Q3]], ASP2019Q3[], 4, FALSE), "")</f>
        <v>3.9209999999999998</v>
      </c>
      <c r="AL40" s="72">
        <f>IFERROR(Table5[[#This Row],[Payment Limit 2019Q3]]/Table5[[#This Row],[HCPCS code dosage 2019Q3]], "")</f>
        <v>0.15683999999999998</v>
      </c>
      <c r="AM40" s="130" t="s">
        <v>1124</v>
      </c>
      <c r="AN40" s="130" t="s">
        <v>1669</v>
      </c>
      <c r="AO40" s="130" t="s">
        <v>1470</v>
      </c>
      <c r="AP40" s="126">
        <f>IFERROR(VLOOKUP(Table5[[#This Row],[HCPCS code 2020Q1]], ASP2020Q1[], 4, FALSE), "")</f>
        <v>2.6509999999999998</v>
      </c>
      <c r="AQ40" s="77">
        <f>IFERROR(Table5[[#This Row],[Payment Limit 2020Q1]]/Table5[[#This Row],[HCPCS code dosage 2020Q1]], "")</f>
        <v>0.10604</v>
      </c>
      <c r="AR40" s="133" t="s">
        <v>1124</v>
      </c>
      <c r="AS40" s="130" t="s">
        <v>1669</v>
      </c>
      <c r="AT40" s="130" t="s">
        <v>1470</v>
      </c>
      <c r="AU40" s="132">
        <f>IFERROR(VLOOKUP(Table5[[#This Row],[HCPCS code 2020Q3]], ASP2020Q3[], 4, FALSE), "")</f>
        <v>2.258</v>
      </c>
      <c r="AV40" s="72">
        <f>IFERROR(Table5[[#This Row],[Payment limit 2020Q3]]/Table5[[#This Row],[HCPCS code dosage 2020Q3]],"")</f>
        <v>9.0319999999999998E-2</v>
      </c>
      <c r="AW40" s="144" t="s">
        <v>1124</v>
      </c>
      <c r="AX40" s="118" t="s">
        <v>1669</v>
      </c>
      <c r="AY40" s="144" t="s">
        <v>1470</v>
      </c>
      <c r="AZ40" s="144">
        <f>IFERROR(VLOOKUP(Table5[[#This Row],[HCPCS code 2021Q1]], ASP2021Q1[], 4, FALSE), "")</f>
        <v>1.623</v>
      </c>
      <c r="BA40" s="122">
        <f>IFERROR(Table5[[#This Row],[Payment limit 2021Q1]]/Table5[[#This Row],[HCPCS code dosage 2021Q1]], "")</f>
        <v>6.4920000000000005E-2</v>
      </c>
      <c r="BB40" s="147" t="s">
        <v>1124</v>
      </c>
      <c r="BC40" s="118" t="s">
        <v>1669</v>
      </c>
      <c r="BD40" s="144" t="s">
        <v>1470</v>
      </c>
      <c r="BE40" s="144">
        <f>IFERROR(VLOOKUP(Table5[[#This Row],[HCPCS code 2021Q3]], ASP2021Q3[], 4, FALSE), "")</f>
        <v>1.143</v>
      </c>
      <c r="BF40" s="122">
        <f>IFERROR(Table5[[#This Row],[Payment limit 2021Q3]]/Table5[[#This Row],[HCPCS code dosage 2021Q3]], "")</f>
        <v>4.5720000000000004E-2</v>
      </c>
      <c r="BG40" s="147" t="s">
        <v>1124</v>
      </c>
      <c r="BH40" s="118" t="s">
        <v>1669</v>
      </c>
      <c r="BI40" s="144" t="s">
        <v>1470</v>
      </c>
      <c r="BJ40" s="144">
        <f>IFERROR(VLOOKUP(Table5[[#This Row],[HCPCS code 2022Q1]], ASP2022Q1[], 4, FALSE), "")</f>
        <v>0.88400000000000001</v>
      </c>
      <c r="BK40" s="122">
        <f>IFERROR(Table5[[#This Row],[Payment limit 2022Q1]]/Table5[[#This Row],[HCPCS code dosage 2022Q1]], "")</f>
        <v>3.5360000000000003E-2</v>
      </c>
      <c r="BL40" s="144" t="s">
        <v>1124</v>
      </c>
      <c r="BM40" s="184">
        <v>25</v>
      </c>
      <c r="BN40" s="144" t="s">
        <v>1470</v>
      </c>
      <c r="BO40" s="144">
        <f>IFERROR(VLOOKUP(Table5[[#This Row],[HCPCS Code 2022Q3]], ASP2022Q3[], 4, FALSE), "")</f>
        <v>0.755</v>
      </c>
      <c r="BP40" s="122">
        <f>IFERROR(Table5[[#This Row],[Payment limit 2022Q3]]/Table5[[#This Row],[HCPCS code dosage 2022Q3]], "")</f>
        <v>3.0200000000000001E-2</v>
      </c>
      <c r="BQ40" s="144" t="s">
        <v>1124</v>
      </c>
      <c r="BR40" s="118">
        <v>25</v>
      </c>
      <c r="BS40" s="144" t="s">
        <v>1470</v>
      </c>
      <c r="BT40" s="144">
        <v>0.67300000000000004</v>
      </c>
      <c r="BU40" s="144">
        <f>IFERROR(Table5[[#This Row],[Payment limit 2023Q1]]/Table5[[#This Row],[HCPCS code dosage 2023Q1]], "")</f>
        <v>2.6920000000000003E-2</v>
      </c>
      <c r="BV40" s="79"/>
    </row>
    <row r="41" spans="1:74" x14ac:dyDescent="0.3">
      <c r="A41" s="62" t="s">
        <v>186</v>
      </c>
      <c r="B41" s="286" t="s">
        <v>1196</v>
      </c>
      <c r="C41" s="286">
        <v>100</v>
      </c>
      <c r="D41" s="307" t="s">
        <v>1470</v>
      </c>
      <c r="E41" s="292">
        <f>IFERROR(VLOOKUP(Table5[[#This Row],[HCPCS code 2016 Q1]], ASP2016Q1[], 4, FALSE), "")</f>
        <v>48.671999999999997</v>
      </c>
      <c r="F41" s="303">
        <f>IFERROR(Table5[[#This Row],[Payment Limit 2016Q1]]/Table5[[#This Row],[HCPCS code dosage 2016Q1]], "")</f>
        <v>0.48671999999999999</v>
      </c>
      <c r="G41" s="286" t="s">
        <v>1196</v>
      </c>
      <c r="H41" s="286">
        <v>100</v>
      </c>
      <c r="I41" s="307" t="s">
        <v>1470</v>
      </c>
      <c r="J41" s="292">
        <f>IFERROR(VLOOKUP(Table5[[#This Row],[HCPCS code 2016 Q3]], ASP2016Q3[], 4, FALSE), "")</f>
        <v>42.188000000000002</v>
      </c>
      <c r="K41" s="303">
        <f>IFERROR(Table5[[#This Row],[Payment Limit 2016Q3]]/Table5[[#This Row],[HCPCS code dosage 2016Q3]], "")</f>
        <v>0.42188000000000003</v>
      </c>
      <c r="L41" s="286" t="s">
        <v>1196</v>
      </c>
      <c r="M41" s="286">
        <v>100</v>
      </c>
      <c r="N41" s="307" t="s">
        <v>1470</v>
      </c>
      <c r="O41" s="291">
        <f>IFERROR(VLOOKUP(Table5[[#This Row],[HCPCS code 2017 Q1]], ASP2017Q1[], 4, FALSE), "")</f>
        <v>42.31</v>
      </c>
      <c r="P41" s="302">
        <f>IFERROR(Table5[[#This Row],[Payment Limit 2017Q1]]/Table5[[#This Row],[HCPCS code dosage 2017Q1]], "")</f>
        <v>0.42310000000000003</v>
      </c>
      <c r="Q41" s="275" t="s">
        <v>1196</v>
      </c>
      <c r="R41" s="275">
        <v>100</v>
      </c>
      <c r="S41" s="275" t="s">
        <v>1470</v>
      </c>
      <c r="T41" s="279">
        <f>IFERROR(VLOOKUP(Table5[[#This Row],[HCPCS code 2017 Q3]], ASP2017Q3[], 4, FALSE), "")</f>
        <v>42.158999999999999</v>
      </c>
      <c r="U41" s="279">
        <f>IFERROR(Table5[[#This Row],[Payment Limit 2017Q3]]/Table5[[#This Row],[HCPCS code dosage 2017Q3]], "")</f>
        <v>0.42158999999999996</v>
      </c>
      <c r="V41" s="374" t="s">
        <v>1196</v>
      </c>
      <c r="W41" s="377">
        <v>100</v>
      </c>
      <c r="X41" s="142" t="s">
        <v>1470</v>
      </c>
      <c r="Y41" s="279">
        <v>42.274000000000001</v>
      </c>
      <c r="Z41" s="370">
        <f>IFERROR(Table5[[#This Row],[Payment Limit 2018 Q1]]/Table5[[#This Row],[HCPCS code dosage 2018 Q1]],"")</f>
        <v>0.42274</v>
      </c>
      <c r="AA41" s="374" t="s">
        <v>1196</v>
      </c>
      <c r="AB41" s="381">
        <v>100</v>
      </c>
      <c r="AC41" s="142" t="s">
        <v>1470</v>
      </c>
      <c r="AD41" s="378">
        <v>41.826999999999998</v>
      </c>
      <c r="AE41" s="370">
        <f>IFERROR(Table5[[#This Row],[Payment Limit 2018 Q3]]/Table5[[#This Row],[HCPCS code dosage 2018 Q3]],"")</f>
        <v>0.41826999999999998</v>
      </c>
      <c r="AF41" s="275" t="s">
        <v>1196</v>
      </c>
      <c r="AG41" s="122">
        <v>0.37822</v>
      </c>
      <c r="AH41" s="117" t="s">
        <v>1196</v>
      </c>
      <c r="AI41" s="118" t="s">
        <v>1677</v>
      </c>
      <c r="AJ41" s="118" t="s">
        <v>1470</v>
      </c>
      <c r="AK41" s="115">
        <f>IFERROR(VLOOKUP(Table5[[#This Row],[HCPCS code 2019Q3]], ASP2019Q3[], 4, FALSE), "")</f>
        <v>34.726999999999997</v>
      </c>
      <c r="AL41" s="72">
        <f>IFERROR(Table5[[#This Row],[Payment Limit 2019Q3]]/Table5[[#This Row],[HCPCS code dosage 2019Q3]], "")</f>
        <v>0.34726999999999997</v>
      </c>
      <c r="AM41" s="130" t="s">
        <v>1196</v>
      </c>
      <c r="AN41" s="130" t="s">
        <v>1677</v>
      </c>
      <c r="AO41" s="130" t="s">
        <v>1470</v>
      </c>
      <c r="AP41" s="126">
        <f>IFERROR(VLOOKUP(Table5[[#This Row],[HCPCS code 2020Q1]], ASP2020Q1[], 4, FALSE), "")</f>
        <v>33.234999999999999</v>
      </c>
      <c r="AQ41" s="77">
        <f>IFERROR(Table5[[#This Row],[Payment Limit 2020Q1]]/Table5[[#This Row],[HCPCS code dosage 2020Q1]], "")</f>
        <v>0.33234999999999998</v>
      </c>
      <c r="AR41" s="133" t="s">
        <v>1196</v>
      </c>
      <c r="AS41" s="130" t="s">
        <v>1677</v>
      </c>
      <c r="AT41" s="130" t="s">
        <v>1470</v>
      </c>
      <c r="AU41" s="132">
        <f>IFERROR(VLOOKUP(Table5[[#This Row],[HCPCS code 2020Q3]], ASP2020Q3[], 4, FALSE), "")</f>
        <v>34.566000000000003</v>
      </c>
      <c r="AV41" s="72">
        <f>IFERROR(Table5[[#This Row],[Payment limit 2020Q3]]/Table5[[#This Row],[HCPCS code dosage 2020Q3]],"")</f>
        <v>0.34566000000000002</v>
      </c>
      <c r="AW41" s="144" t="s">
        <v>1196</v>
      </c>
      <c r="AX41" s="118" t="s">
        <v>1677</v>
      </c>
      <c r="AY41" s="144" t="s">
        <v>1470</v>
      </c>
      <c r="AZ41" s="144">
        <f>IFERROR(VLOOKUP(Table5[[#This Row],[HCPCS code 2021Q1]], ASP2021Q1[], 4, FALSE), "")</f>
        <v>31.164000000000001</v>
      </c>
      <c r="BA41" s="122">
        <f>IFERROR(Table5[[#This Row],[Payment limit 2021Q1]]/Table5[[#This Row],[HCPCS code dosage 2021Q1]], "")</f>
        <v>0.31164000000000003</v>
      </c>
      <c r="BB41" s="147" t="s">
        <v>1196</v>
      </c>
      <c r="BC41" s="118" t="s">
        <v>1677</v>
      </c>
      <c r="BD41" s="144" t="s">
        <v>1470</v>
      </c>
      <c r="BE41" s="144">
        <f>IFERROR(VLOOKUP(Table5[[#This Row],[HCPCS code 2021Q3]], ASP2021Q3[], 4, FALSE), "")</f>
        <v>30.997</v>
      </c>
      <c r="BF41" s="122">
        <f>IFERROR(Table5[[#This Row],[Payment limit 2021Q3]]/Table5[[#This Row],[HCPCS code dosage 2021Q3]], "")</f>
        <v>0.30997000000000002</v>
      </c>
      <c r="BG41" s="147" t="s">
        <v>1196</v>
      </c>
      <c r="BH41" s="118" t="s">
        <v>1677</v>
      </c>
      <c r="BI41" s="144" t="s">
        <v>1470</v>
      </c>
      <c r="BJ41" s="144">
        <f>IFERROR(VLOOKUP(Table5[[#This Row],[HCPCS code 2022Q1]], ASP2022Q1[], 4, FALSE), "")</f>
        <v>27.472999999999999</v>
      </c>
      <c r="BK41" s="122">
        <f>IFERROR(Table5[[#This Row],[Payment limit 2022Q1]]/Table5[[#This Row],[HCPCS code dosage 2022Q1]], "")</f>
        <v>0.27472999999999997</v>
      </c>
      <c r="BL41" s="144" t="s">
        <v>1196</v>
      </c>
      <c r="BM41" s="184">
        <v>100</v>
      </c>
      <c r="BN41" s="144" t="s">
        <v>1470</v>
      </c>
      <c r="BO41" s="144">
        <f>IFERROR(VLOOKUP(Table5[[#This Row],[HCPCS Code 2022Q3]], ASP2022Q3[], 4, FALSE), "")</f>
        <v>26.87</v>
      </c>
      <c r="BP41" s="122">
        <f>IFERROR(Table5[[#This Row],[Payment limit 2022Q3]]/Table5[[#This Row],[HCPCS code dosage 2022Q3]], "")</f>
        <v>0.26869999999999999</v>
      </c>
      <c r="BQ41" s="144" t="s">
        <v>1196</v>
      </c>
      <c r="BR41" s="118">
        <v>100</v>
      </c>
      <c r="BS41" s="144" t="s">
        <v>1470</v>
      </c>
      <c r="BT41" s="144">
        <v>22.131</v>
      </c>
      <c r="BU41" s="144">
        <f>IFERROR(Table5[[#This Row],[Payment limit 2023Q1]]/Table5[[#This Row],[HCPCS code dosage 2023Q1]], "")</f>
        <v>0.22131000000000001</v>
      </c>
      <c r="BV41" s="79"/>
    </row>
    <row r="42" spans="1:74" x14ac:dyDescent="0.3">
      <c r="A42" s="62" t="s">
        <v>187</v>
      </c>
      <c r="B42" s="286" t="s">
        <v>1196</v>
      </c>
      <c r="C42" s="286">
        <v>100</v>
      </c>
      <c r="D42" s="307" t="s">
        <v>1470</v>
      </c>
      <c r="E42" s="292">
        <f>IFERROR(VLOOKUP(Table5[[#This Row],[HCPCS code 2016 Q1]], ASP2016Q1[], 4, FALSE), "")</f>
        <v>48.671999999999997</v>
      </c>
      <c r="F42" s="303">
        <f>IFERROR(Table5[[#This Row],[Payment Limit 2016Q1]]/Table5[[#This Row],[HCPCS code dosage 2016Q1]], "")</f>
        <v>0.48671999999999999</v>
      </c>
      <c r="G42" s="286" t="s">
        <v>1196</v>
      </c>
      <c r="H42" s="286">
        <v>100</v>
      </c>
      <c r="I42" s="307" t="s">
        <v>1470</v>
      </c>
      <c r="J42" s="292">
        <f>IFERROR(VLOOKUP(Table5[[#This Row],[HCPCS code 2016 Q3]], ASP2016Q3[], 4, FALSE), "")</f>
        <v>42.188000000000002</v>
      </c>
      <c r="K42" s="303">
        <f>IFERROR(Table5[[#This Row],[Payment Limit 2016Q3]]/Table5[[#This Row],[HCPCS code dosage 2016Q3]], "")</f>
        <v>0.42188000000000003</v>
      </c>
      <c r="L42" s="286" t="s">
        <v>1196</v>
      </c>
      <c r="M42" s="286">
        <v>100</v>
      </c>
      <c r="N42" s="307" t="s">
        <v>1470</v>
      </c>
      <c r="O42" s="291">
        <f>IFERROR(VLOOKUP(Table5[[#This Row],[HCPCS code 2017 Q1]], ASP2017Q1[], 4, FALSE), "")</f>
        <v>42.31</v>
      </c>
      <c r="P42" s="302">
        <f>IFERROR(Table5[[#This Row],[Payment Limit 2017Q1]]/Table5[[#This Row],[HCPCS code dosage 2017Q1]], "")</f>
        <v>0.42310000000000003</v>
      </c>
      <c r="Q42" s="275" t="s">
        <v>1196</v>
      </c>
      <c r="R42" s="275">
        <v>100</v>
      </c>
      <c r="S42" s="275" t="s">
        <v>1470</v>
      </c>
      <c r="T42" s="279">
        <f>IFERROR(VLOOKUP(Table5[[#This Row],[HCPCS code 2017 Q3]], ASP2017Q3[], 4, FALSE), "")</f>
        <v>42.158999999999999</v>
      </c>
      <c r="U42" s="279">
        <f>IFERROR(Table5[[#This Row],[Payment Limit 2017Q3]]/Table5[[#This Row],[HCPCS code dosage 2017Q3]], "")</f>
        <v>0.42158999999999996</v>
      </c>
      <c r="V42" s="374" t="s">
        <v>1196</v>
      </c>
      <c r="W42" s="377">
        <v>100</v>
      </c>
      <c r="X42" s="142" t="s">
        <v>1470</v>
      </c>
      <c r="Y42" s="279">
        <v>42.274000000000001</v>
      </c>
      <c r="Z42" s="370">
        <f>IFERROR(Table5[[#This Row],[Payment Limit 2018 Q1]]/Table5[[#This Row],[HCPCS code dosage 2018 Q1]],"")</f>
        <v>0.42274</v>
      </c>
      <c r="AA42" s="374" t="s">
        <v>1196</v>
      </c>
      <c r="AB42" s="381">
        <v>100</v>
      </c>
      <c r="AC42" s="142" t="s">
        <v>1470</v>
      </c>
      <c r="AD42" s="378">
        <v>41.826999999999998</v>
      </c>
      <c r="AE42" s="370">
        <f>IFERROR(Table5[[#This Row],[Payment Limit 2018 Q3]]/Table5[[#This Row],[HCPCS code dosage 2018 Q3]],"")</f>
        <v>0.41826999999999998</v>
      </c>
      <c r="AF42" s="275" t="s">
        <v>1196</v>
      </c>
      <c r="AG42" s="122">
        <v>0.37822</v>
      </c>
      <c r="AH42" s="117" t="s">
        <v>1196</v>
      </c>
      <c r="AI42" s="118" t="s">
        <v>1677</v>
      </c>
      <c r="AJ42" s="118" t="s">
        <v>1470</v>
      </c>
      <c r="AK42" s="115">
        <f>IFERROR(VLOOKUP(Table5[[#This Row],[HCPCS code 2019Q3]], ASP2019Q3[], 4, FALSE), "")</f>
        <v>34.726999999999997</v>
      </c>
      <c r="AL42" s="72">
        <f>IFERROR(Table5[[#This Row],[Payment Limit 2019Q3]]/Table5[[#This Row],[HCPCS code dosage 2019Q3]], "")</f>
        <v>0.34726999999999997</v>
      </c>
      <c r="AM42" s="130" t="s">
        <v>1196</v>
      </c>
      <c r="AN42" s="130" t="s">
        <v>1677</v>
      </c>
      <c r="AO42" s="130" t="s">
        <v>1470</v>
      </c>
      <c r="AP42" s="126">
        <f>IFERROR(VLOOKUP(Table5[[#This Row],[HCPCS code 2020Q1]], ASP2020Q1[], 4, FALSE), "")</f>
        <v>33.234999999999999</v>
      </c>
      <c r="AQ42" s="77">
        <f>IFERROR(Table5[[#This Row],[Payment Limit 2020Q1]]/Table5[[#This Row],[HCPCS code dosage 2020Q1]], "")</f>
        <v>0.33234999999999998</v>
      </c>
      <c r="AR42" s="133" t="s">
        <v>1196</v>
      </c>
      <c r="AS42" s="130" t="s">
        <v>1677</v>
      </c>
      <c r="AT42" s="130" t="s">
        <v>1470</v>
      </c>
      <c r="AU42" s="132">
        <f>IFERROR(VLOOKUP(Table5[[#This Row],[HCPCS code 2020Q3]], ASP2020Q3[], 4, FALSE), "")</f>
        <v>34.566000000000003</v>
      </c>
      <c r="AV42" s="72">
        <f>IFERROR(Table5[[#This Row],[Payment limit 2020Q3]]/Table5[[#This Row],[HCPCS code dosage 2020Q3]],"")</f>
        <v>0.34566000000000002</v>
      </c>
      <c r="AW42" s="144" t="s">
        <v>1196</v>
      </c>
      <c r="AX42" s="118" t="s">
        <v>1677</v>
      </c>
      <c r="AY42" s="144" t="s">
        <v>1470</v>
      </c>
      <c r="AZ42" s="144">
        <f>IFERROR(VLOOKUP(Table5[[#This Row],[HCPCS code 2021Q1]], ASP2021Q1[], 4, FALSE), "")</f>
        <v>31.164000000000001</v>
      </c>
      <c r="BA42" s="122">
        <f>IFERROR(Table5[[#This Row],[Payment limit 2021Q1]]/Table5[[#This Row],[HCPCS code dosage 2021Q1]], "")</f>
        <v>0.31164000000000003</v>
      </c>
      <c r="BB42" s="147" t="s">
        <v>1196</v>
      </c>
      <c r="BC42" s="118" t="s">
        <v>1677</v>
      </c>
      <c r="BD42" s="144" t="s">
        <v>1470</v>
      </c>
      <c r="BE42" s="144">
        <f>IFERROR(VLOOKUP(Table5[[#This Row],[HCPCS code 2021Q3]], ASP2021Q3[], 4, FALSE), "")</f>
        <v>30.997</v>
      </c>
      <c r="BF42" s="122">
        <f>IFERROR(Table5[[#This Row],[Payment limit 2021Q3]]/Table5[[#This Row],[HCPCS code dosage 2021Q3]], "")</f>
        <v>0.30997000000000002</v>
      </c>
      <c r="BG42" s="147" t="s">
        <v>1196</v>
      </c>
      <c r="BH42" s="118" t="s">
        <v>1677</v>
      </c>
      <c r="BI42" s="144" t="s">
        <v>1470</v>
      </c>
      <c r="BJ42" s="144">
        <f>IFERROR(VLOOKUP(Table5[[#This Row],[HCPCS code 2022Q1]], ASP2022Q1[], 4, FALSE), "")</f>
        <v>27.472999999999999</v>
      </c>
      <c r="BK42" s="122">
        <f>IFERROR(Table5[[#This Row],[Payment limit 2022Q1]]/Table5[[#This Row],[HCPCS code dosage 2022Q1]], "")</f>
        <v>0.27472999999999997</v>
      </c>
      <c r="BL42" s="144" t="s">
        <v>1196</v>
      </c>
      <c r="BM42" s="184">
        <v>100</v>
      </c>
      <c r="BN42" s="144" t="s">
        <v>1470</v>
      </c>
      <c r="BO42" s="144">
        <f>IFERROR(VLOOKUP(Table5[[#This Row],[HCPCS Code 2022Q3]], ASP2022Q3[], 4, FALSE), "")</f>
        <v>26.87</v>
      </c>
      <c r="BP42" s="122">
        <f>IFERROR(Table5[[#This Row],[Payment limit 2022Q3]]/Table5[[#This Row],[HCPCS code dosage 2022Q3]], "")</f>
        <v>0.26869999999999999</v>
      </c>
      <c r="BQ42" s="144" t="s">
        <v>1196</v>
      </c>
      <c r="BR42" s="118">
        <v>100</v>
      </c>
      <c r="BS42" s="144" t="s">
        <v>1470</v>
      </c>
      <c r="BT42" s="144">
        <v>22.131</v>
      </c>
      <c r="BU42" s="144">
        <f>IFERROR(Table5[[#This Row],[Payment limit 2023Q1]]/Table5[[#This Row],[HCPCS code dosage 2023Q1]], "")</f>
        <v>0.22131000000000001</v>
      </c>
      <c r="BV42" s="79"/>
    </row>
    <row r="43" spans="1:74" x14ac:dyDescent="0.3">
      <c r="A43" s="62" t="s">
        <v>163</v>
      </c>
      <c r="B43" s="286" t="s">
        <v>1198</v>
      </c>
      <c r="C43" s="286">
        <v>100</v>
      </c>
      <c r="D43" s="307" t="s">
        <v>1470</v>
      </c>
      <c r="E43" s="292">
        <f>IFERROR(VLOOKUP(Table5[[#This Row],[HCPCS code 2016 Q1]], ASP2016Q1[], 4, FALSE), "")</f>
        <v>0.88300000000000001</v>
      </c>
      <c r="F43" s="303">
        <f>IFERROR(Table5[[#This Row],[Payment Limit 2016Q1]]/Table5[[#This Row],[HCPCS code dosage 2016Q1]], "")</f>
        <v>8.8299999999999993E-3</v>
      </c>
      <c r="G43" s="286" t="s">
        <v>1198</v>
      </c>
      <c r="H43" s="286">
        <v>100</v>
      </c>
      <c r="I43" s="307" t="s">
        <v>1470</v>
      </c>
      <c r="J43" s="292">
        <f>IFERROR(VLOOKUP(Table5[[#This Row],[HCPCS code 2016 Q3]], ASP2016Q3[], 4, FALSE), "")</f>
        <v>0.88300000000000001</v>
      </c>
      <c r="K43" s="303">
        <f>IFERROR(Table5[[#This Row],[Payment Limit 2016Q3]]/Table5[[#This Row],[HCPCS code dosage 2016Q3]], "")</f>
        <v>8.8299999999999993E-3</v>
      </c>
      <c r="L43" s="286" t="s">
        <v>1198</v>
      </c>
      <c r="M43" s="286">
        <v>100</v>
      </c>
      <c r="N43" s="307" t="s">
        <v>1470</v>
      </c>
      <c r="O43" s="291">
        <f>IFERROR(VLOOKUP(Table5[[#This Row],[HCPCS code 2017 Q1]], ASP2017Q1[], 4, FALSE), "")</f>
        <v>0.79600000000000004</v>
      </c>
      <c r="P43" s="302">
        <f>IFERROR(Table5[[#This Row],[Payment Limit 2017Q1]]/Table5[[#This Row],[HCPCS code dosage 2017Q1]], "")</f>
        <v>7.9600000000000001E-3</v>
      </c>
      <c r="Q43" s="275" t="s">
        <v>1198</v>
      </c>
      <c r="R43" s="275">
        <v>100</v>
      </c>
      <c r="S43" s="275" t="s">
        <v>1470</v>
      </c>
      <c r="T43" s="279">
        <f>IFERROR(VLOOKUP(Table5[[#This Row],[HCPCS code 2017 Q3]], ASP2017Q3[], 4, FALSE), "")</f>
        <v>0.82699999999999996</v>
      </c>
      <c r="U43" s="279">
        <f>IFERROR(Table5[[#This Row],[Payment Limit 2017Q3]]/Table5[[#This Row],[HCPCS code dosage 2017Q3]], "")</f>
        <v>8.2699999999999996E-3</v>
      </c>
      <c r="V43" s="374" t="s">
        <v>1198</v>
      </c>
      <c r="W43" s="377">
        <v>100</v>
      </c>
      <c r="X43" s="142" t="s">
        <v>1470</v>
      </c>
      <c r="Y43" s="279">
        <v>0.78500000000000003</v>
      </c>
      <c r="Z43" s="370">
        <f>IFERROR(Table5[[#This Row],[Payment Limit 2018 Q1]]/Table5[[#This Row],[HCPCS code dosage 2018 Q1]],"")</f>
        <v>7.8500000000000011E-3</v>
      </c>
      <c r="AA43" s="374" t="s">
        <v>1198</v>
      </c>
      <c r="AB43" s="381">
        <v>100</v>
      </c>
      <c r="AC43" s="142" t="s">
        <v>1470</v>
      </c>
      <c r="AD43" s="378">
        <v>0.59699999999999998</v>
      </c>
      <c r="AE43" s="370">
        <f>IFERROR(Table5[[#This Row],[Payment Limit 2018 Q3]]/Table5[[#This Row],[HCPCS code dosage 2018 Q3]],"")</f>
        <v>5.9699999999999996E-3</v>
      </c>
      <c r="AF43" s="275" t="s">
        <v>1198</v>
      </c>
      <c r="AG43" s="122">
        <v>7.6600000000000001E-3</v>
      </c>
      <c r="AH43" s="117" t="s">
        <v>1198</v>
      </c>
      <c r="AI43" s="118" t="s">
        <v>1677</v>
      </c>
      <c r="AJ43" s="118" t="s">
        <v>1470</v>
      </c>
      <c r="AK43" s="115">
        <f>IFERROR(VLOOKUP(Table5[[#This Row],[HCPCS code 2019Q3]], ASP2019Q3[], 4, FALSE), "")</f>
        <v>0.58299999999999996</v>
      </c>
      <c r="AL43" s="72">
        <f>IFERROR(Table5[[#This Row],[Payment Limit 2019Q3]]/Table5[[#This Row],[HCPCS code dosage 2019Q3]], "")</f>
        <v>5.8299999999999992E-3</v>
      </c>
      <c r="AM43" s="130" t="s">
        <v>1198</v>
      </c>
      <c r="AN43" s="130" t="s">
        <v>1677</v>
      </c>
      <c r="AO43" s="130" t="s">
        <v>1470</v>
      </c>
      <c r="AP43" s="126">
        <f>IFERROR(VLOOKUP(Table5[[#This Row],[HCPCS code 2020Q1]], ASP2020Q1[], 4, FALSE), "")</f>
        <v>0.80600000000000005</v>
      </c>
      <c r="AQ43" s="77">
        <f>IFERROR(Table5[[#This Row],[Payment Limit 2020Q1]]/Table5[[#This Row],[HCPCS code dosage 2020Q1]], "")</f>
        <v>8.0600000000000012E-3</v>
      </c>
      <c r="AR43" s="133" t="s">
        <v>1198</v>
      </c>
      <c r="AS43" s="130" t="s">
        <v>1677</v>
      </c>
      <c r="AT43" s="130" t="s">
        <v>1470</v>
      </c>
      <c r="AU43" s="132">
        <f>IFERROR(VLOOKUP(Table5[[#This Row],[HCPCS code 2020Q3]], ASP2020Q3[], 4, FALSE), "")</f>
        <v>0.70799999999999996</v>
      </c>
      <c r="AV43" s="72">
        <f>IFERROR(Table5[[#This Row],[Payment limit 2020Q3]]/Table5[[#This Row],[HCPCS code dosage 2020Q3]],"")</f>
        <v>7.0799999999999995E-3</v>
      </c>
      <c r="AW43" s="144" t="s">
        <v>1198</v>
      </c>
      <c r="AX43" s="118" t="s">
        <v>1677</v>
      </c>
      <c r="AY43" s="144" t="s">
        <v>1470</v>
      </c>
      <c r="AZ43" s="144">
        <f>IFERROR(VLOOKUP(Table5[[#This Row],[HCPCS code 2021Q1]], ASP2021Q1[], 4, FALSE), "")</f>
        <v>0.69199999999999995</v>
      </c>
      <c r="BA43" s="122">
        <f>IFERROR(Table5[[#This Row],[Payment limit 2021Q1]]/Table5[[#This Row],[HCPCS code dosage 2021Q1]], "")</f>
        <v>6.9199999999999991E-3</v>
      </c>
      <c r="BB43" s="147" t="s">
        <v>1198</v>
      </c>
      <c r="BC43" s="118" t="s">
        <v>1677</v>
      </c>
      <c r="BD43" s="144" t="s">
        <v>1470</v>
      </c>
      <c r="BE43" s="144">
        <f>IFERROR(VLOOKUP(Table5[[#This Row],[HCPCS code 2021Q3]], ASP2021Q3[], 4, FALSE), "")</f>
        <v>0.68500000000000005</v>
      </c>
      <c r="BF43" s="122">
        <f>IFERROR(Table5[[#This Row],[Payment limit 2021Q3]]/Table5[[#This Row],[HCPCS code dosage 2021Q3]], "")</f>
        <v>6.8500000000000002E-3</v>
      </c>
      <c r="BG43" s="147" t="s">
        <v>1198</v>
      </c>
      <c r="BH43" s="118" t="s">
        <v>1677</v>
      </c>
      <c r="BI43" s="144" t="s">
        <v>1470</v>
      </c>
      <c r="BJ43" s="144">
        <f>IFERROR(VLOOKUP(Table5[[#This Row],[HCPCS code 2022Q1]], ASP2022Q1[], 4, FALSE), "")</f>
        <v>0.88100000000000001</v>
      </c>
      <c r="BK43" s="122">
        <f>IFERROR(Table5[[#This Row],[Payment limit 2022Q1]]/Table5[[#This Row],[HCPCS code dosage 2022Q1]], "")</f>
        <v>8.8100000000000001E-3</v>
      </c>
      <c r="BL43" s="144" t="s">
        <v>1198</v>
      </c>
      <c r="BM43" s="184">
        <v>100</v>
      </c>
      <c r="BN43" s="144" t="s">
        <v>1470</v>
      </c>
      <c r="BO43" s="144">
        <f>IFERROR(VLOOKUP(Table5[[#This Row],[HCPCS Code 2022Q3]], ASP2022Q3[], 4, FALSE), "")</f>
        <v>0.92300000000000004</v>
      </c>
      <c r="BP43" s="122">
        <f>IFERROR(Table5[[#This Row],[Payment limit 2022Q3]]/Table5[[#This Row],[HCPCS code dosage 2022Q3]], "")</f>
        <v>9.2300000000000004E-3</v>
      </c>
      <c r="BQ43" s="144" t="s">
        <v>1198</v>
      </c>
      <c r="BR43" s="118">
        <v>100</v>
      </c>
      <c r="BS43" s="144" t="s">
        <v>1470</v>
      </c>
      <c r="BT43" s="144">
        <v>1.02</v>
      </c>
      <c r="BU43" s="144">
        <f>IFERROR(Table5[[#This Row],[Payment limit 2023Q1]]/Table5[[#This Row],[HCPCS code dosage 2023Q1]], "")</f>
        <v>1.0200000000000001E-2</v>
      </c>
      <c r="BV43" s="79"/>
    </row>
    <row r="44" spans="1:74" x14ac:dyDescent="0.3">
      <c r="A44" s="62" t="s">
        <v>106</v>
      </c>
      <c r="B44" s="286" t="s">
        <v>1198</v>
      </c>
      <c r="C44" s="286">
        <v>100</v>
      </c>
      <c r="D44" s="307" t="s">
        <v>1470</v>
      </c>
      <c r="E44" s="292">
        <f>IFERROR(VLOOKUP(Table5[[#This Row],[HCPCS code 2016 Q1]], ASP2016Q1[], 4, FALSE), "")</f>
        <v>0.88300000000000001</v>
      </c>
      <c r="F44" s="303">
        <f>IFERROR(Table5[[#This Row],[Payment Limit 2016Q1]]/Table5[[#This Row],[HCPCS code dosage 2016Q1]], "")</f>
        <v>8.8299999999999993E-3</v>
      </c>
      <c r="G44" s="286" t="s">
        <v>1198</v>
      </c>
      <c r="H44" s="286">
        <v>100</v>
      </c>
      <c r="I44" s="307" t="s">
        <v>1470</v>
      </c>
      <c r="J44" s="292">
        <f>IFERROR(VLOOKUP(Table5[[#This Row],[HCPCS code 2016 Q3]], ASP2016Q3[], 4, FALSE), "")</f>
        <v>0.88300000000000001</v>
      </c>
      <c r="K44" s="303">
        <f>IFERROR(Table5[[#This Row],[Payment Limit 2016Q3]]/Table5[[#This Row],[HCPCS code dosage 2016Q3]], "")</f>
        <v>8.8299999999999993E-3</v>
      </c>
      <c r="L44" s="286" t="s">
        <v>1198</v>
      </c>
      <c r="M44" s="286">
        <v>100</v>
      </c>
      <c r="N44" s="307" t="s">
        <v>1470</v>
      </c>
      <c r="O44" s="291">
        <f>IFERROR(VLOOKUP(Table5[[#This Row],[HCPCS code 2017 Q1]], ASP2017Q1[], 4, FALSE), "")</f>
        <v>0.79600000000000004</v>
      </c>
      <c r="P44" s="302">
        <f>IFERROR(Table5[[#This Row],[Payment Limit 2017Q1]]/Table5[[#This Row],[HCPCS code dosage 2017Q1]], "")</f>
        <v>7.9600000000000001E-3</v>
      </c>
      <c r="Q44" s="275" t="s">
        <v>1198</v>
      </c>
      <c r="R44" s="275">
        <v>100</v>
      </c>
      <c r="S44" s="275" t="s">
        <v>1470</v>
      </c>
      <c r="T44" s="279">
        <f>IFERROR(VLOOKUP(Table5[[#This Row],[HCPCS code 2017 Q3]], ASP2017Q3[], 4, FALSE), "")</f>
        <v>0.82699999999999996</v>
      </c>
      <c r="U44" s="279">
        <f>IFERROR(Table5[[#This Row],[Payment Limit 2017Q3]]/Table5[[#This Row],[HCPCS code dosage 2017Q3]], "")</f>
        <v>8.2699999999999996E-3</v>
      </c>
      <c r="V44" s="374" t="s">
        <v>1198</v>
      </c>
      <c r="W44" s="377">
        <v>100</v>
      </c>
      <c r="X44" s="142" t="s">
        <v>1470</v>
      </c>
      <c r="Y44" s="279">
        <v>0.78500000000000003</v>
      </c>
      <c r="Z44" s="370">
        <f>IFERROR(Table5[[#This Row],[Payment Limit 2018 Q1]]/Table5[[#This Row],[HCPCS code dosage 2018 Q1]],"")</f>
        <v>7.8500000000000011E-3</v>
      </c>
      <c r="AA44" s="374" t="s">
        <v>1198</v>
      </c>
      <c r="AB44" s="381">
        <v>100</v>
      </c>
      <c r="AC44" s="142" t="s">
        <v>1470</v>
      </c>
      <c r="AD44" s="378">
        <v>0.59699999999999998</v>
      </c>
      <c r="AE44" s="370">
        <f>IFERROR(Table5[[#This Row],[Payment Limit 2018 Q3]]/Table5[[#This Row],[HCPCS code dosage 2018 Q3]],"")</f>
        <v>5.9699999999999996E-3</v>
      </c>
      <c r="AF44" s="275" t="s">
        <v>1198</v>
      </c>
      <c r="AG44" s="122">
        <v>7.6600000000000001E-3</v>
      </c>
      <c r="AH44" s="117" t="s">
        <v>1198</v>
      </c>
      <c r="AI44" s="118" t="s">
        <v>1677</v>
      </c>
      <c r="AJ44" s="118" t="s">
        <v>1470</v>
      </c>
      <c r="AK44" s="115">
        <f>IFERROR(VLOOKUP(Table5[[#This Row],[HCPCS code 2019Q3]], ASP2019Q3[], 4, FALSE), "")</f>
        <v>0.58299999999999996</v>
      </c>
      <c r="AL44" s="72">
        <f>IFERROR(Table5[[#This Row],[Payment Limit 2019Q3]]/Table5[[#This Row],[HCPCS code dosage 2019Q3]], "")</f>
        <v>5.8299999999999992E-3</v>
      </c>
      <c r="AM44" s="130" t="s">
        <v>1198</v>
      </c>
      <c r="AN44" s="130" t="s">
        <v>1677</v>
      </c>
      <c r="AO44" s="130" t="s">
        <v>1470</v>
      </c>
      <c r="AP44" s="126">
        <f>IFERROR(VLOOKUP(Table5[[#This Row],[HCPCS code 2020Q1]], ASP2020Q1[], 4, FALSE), "")</f>
        <v>0.80600000000000005</v>
      </c>
      <c r="AQ44" s="77">
        <f>IFERROR(Table5[[#This Row],[Payment Limit 2020Q1]]/Table5[[#This Row],[HCPCS code dosage 2020Q1]], "")</f>
        <v>8.0600000000000012E-3</v>
      </c>
      <c r="AR44" s="133" t="s">
        <v>1198</v>
      </c>
      <c r="AS44" s="130" t="s">
        <v>1677</v>
      </c>
      <c r="AT44" s="130" t="s">
        <v>1470</v>
      </c>
      <c r="AU44" s="132">
        <f>IFERROR(VLOOKUP(Table5[[#This Row],[HCPCS code 2020Q3]], ASP2020Q3[], 4, FALSE), "")</f>
        <v>0.70799999999999996</v>
      </c>
      <c r="AV44" s="72">
        <f>IFERROR(Table5[[#This Row],[Payment limit 2020Q3]]/Table5[[#This Row],[HCPCS code dosage 2020Q3]],"")</f>
        <v>7.0799999999999995E-3</v>
      </c>
      <c r="AW44" s="144" t="s">
        <v>1198</v>
      </c>
      <c r="AX44" s="118" t="s">
        <v>1677</v>
      </c>
      <c r="AY44" s="144" t="s">
        <v>1470</v>
      </c>
      <c r="AZ44" s="144">
        <f>IFERROR(VLOOKUP(Table5[[#This Row],[HCPCS code 2021Q1]], ASP2021Q1[], 4, FALSE), "")</f>
        <v>0.69199999999999995</v>
      </c>
      <c r="BA44" s="122">
        <f>IFERROR(Table5[[#This Row],[Payment limit 2021Q1]]/Table5[[#This Row],[HCPCS code dosage 2021Q1]], "")</f>
        <v>6.9199999999999991E-3</v>
      </c>
      <c r="BB44" s="147" t="s">
        <v>1198</v>
      </c>
      <c r="BC44" s="118" t="s">
        <v>1677</v>
      </c>
      <c r="BD44" s="144" t="s">
        <v>1470</v>
      </c>
      <c r="BE44" s="144">
        <f>IFERROR(VLOOKUP(Table5[[#This Row],[HCPCS code 2021Q3]], ASP2021Q3[], 4, FALSE), "")</f>
        <v>0.68500000000000005</v>
      </c>
      <c r="BF44" s="122">
        <f>IFERROR(Table5[[#This Row],[Payment limit 2021Q3]]/Table5[[#This Row],[HCPCS code dosage 2021Q3]], "")</f>
        <v>6.8500000000000002E-3</v>
      </c>
      <c r="BG44" s="147" t="s">
        <v>1198</v>
      </c>
      <c r="BH44" s="118" t="s">
        <v>1677</v>
      </c>
      <c r="BI44" s="144" t="s">
        <v>1470</v>
      </c>
      <c r="BJ44" s="144">
        <f>IFERROR(VLOOKUP(Table5[[#This Row],[HCPCS code 2022Q1]], ASP2022Q1[], 4, FALSE), "")</f>
        <v>0.88100000000000001</v>
      </c>
      <c r="BK44" s="122">
        <f>IFERROR(Table5[[#This Row],[Payment limit 2022Q1]]/Table5[[#This Row],[HCPCS code dosage 2022Q1]], "")</f>
        <v>8.8100000000000001E-3</v>
      </c>
      <c r="BL44" s="144" t="s">
        <v>1198</v>
      </c>
      <c r="BM44" s="184">
        <v>100</v>
      </c>
      <c r="BN44" s="144" t="s">
        <v>1470</v>
      </c>
      <c r="BO44" s="144">
        <f>IFERROR(VLOOKUP(Table5[[#This Row],[HCPCS Code 2022Q3]], ASP2022Q3[], 4, FALSE), "")</f>
        <v>0.92300000000000004</v>
      </c>
      <c r="BP44" s="122">
        <f>IFERROR(Table5[[#This Row],[Payment limit 2022Q3]]/Table5[[#This Row],[HCPCS code dosage 2022Q3]], "")</f>
        <v>9.2300000000000004E-3</v>
      </c>
      <c r="BQ44" s="144" t="s">
        <v>1198</v>
      </c>
      <c r="BR44" s="118">
        <v>100</v>
      </c>
      <c r="BS44" s="144" t="s">
        <v>1470</v>
      </c>
      <c r="BT44" s="146">
        <v>1.02</v>
      </c>
      <c r="BU44" s="144">
        <f>IFERROR(Table5[[#This Row],[Payment limit 2023Q1]]/Table5[[#This Row],[HCPCS code dosage 2023Q1]], "")</f>
        <v>1.0200000000000001E-2</v>
      </c>
      <c r="BV44" s="79"/>
    </row>
    <row r="45" spans="1:74" x14ac:dyDescent="0.3">
      <c r="A45" s="62" t="s">
        <v>1914</v>
      </c>
      <c r="B45" s="286" t="s">
        <v>1198</v>
      </c>
      <c r="C45" s="286">
        <v>100</v>
      </c>
      <c r="D45" s="307" t="s">
        <v>1470</v>
      </c>
      <c r="E45" s="292">
        <f>IFERROR(VLOOKUP(Table5[[#This Row],[HCPCS code 2016 Q1]], ASP2016Q1[], 4, FALSE), "")</f>
        <v>0.88300000000000001</v>
      </c>
      <c r="F45" s="303">
        <f>IFERROR(Table5[[#This Row],[Payment Limit 2016Q1]]/Table5[[#This Row],[HCPCS code dosage 2016Q1]], "")</f>
        <v>8.8299999999999993E-3</v>
      </c>
      <c r="G45" s="286" t="s">
        <v>1198</v>
      </c>
      <c r="H45" s="286">
        <v>100</v>
      </c>
      <c r="I45" s="307" t="s">
        <v>1470</v>
      </c>
      <c r="J45" s="292">
        <f>IFERROR(VLOOKUP(Table5[[#This Row],[HCPCS code 2016 Q3]], ASP2016Q3[], 4, FALSE), "")</f>
        <v>0.88300000000000001</v>
      </c>
      <c r="K45" s="303">
        <f>IFERROR(Table5[[#This Row],[Payment Limit 2016Q3]]/Table5[[#This Row],[HCPCS code dosage 2016Q3]], "")</f>
        <v>8.8299999999999993E-3</v>
      </c>
      <c r="L45" s="286" t="s">
        <v>1198</v>
      </c>
      <c r="M45" s="286">
        <v>100</v>
      </c>
      <c r="N45" s="307" t="s">
        <v>1470</v>
      </c>
      <c r="O45" s="291">
        <f>IFERROR(VLOOKUP(Table5[[#This Row],[HCPCS code 2017 Q1]], ASP2017Q1[], 4, FALSE), "")</f>
        <v>0.79600000000000004</v>
      </c>
      <c r="P45" s="302">
        <f>IFERROR(Table5[[#This Row],[Payment Limit 2017Q1]]/Table5[[#This Row],[HCPCS code dosage 2017Q1]], "")</f>
        <v>7.9600000000000001E-3</v>
      </c>
      <c r="Q45" s="275" t="s">
        <v>1198</v>
      </c>
      <c r="R45" s="275">
        <v>100</v>
      </c>
      <c r="S45" s="275" t="s">
        <v>1470</v>
      </c>
      <c r="T45" s="279">
        <f>IFERROR(VLOOKUP(Table5[[#This Row],[HCPCS code 2017 Q3]], ASP2017Q3[], 4, FALSE), "")</f>
        <v>0.82699999999999996</v>
      </c>
      <c r="U45" s="279">
        <f>IFERROR(Table5[[#This Row],[Payment Limit 2017Q3]]/Table5[[#This Row],[HCPCS code dosage 2017Q3]], "")</f>
        <v>8.2699999999999996E-3</v>
      </c>
      <c r="V45" s="374" t="s">
        <v>1198</v>
      </c>
      <c r="W45" s="377">
        <v>100</v>
      </c>
      <c r="X45" s="142" t="s">
        <v>1470</v>
      </c>
      <c r="Y45" s="279">
        <v>0.78500000000000003</v>
      </c>
      <c r="Z45" s="370">
        <f>IFERROR(Table5[[#This Row],[Payment Limit 2018 Q1]]/Table5[[#This Row],[HCPCS code dosage 2018 Q1]],"")</f>
        <v>7.8500000000000011E-3</v>
      </c>
      <c r="AA45" s="374" t="s">
        <v>1198</v>
      </c>
      <c r="AB45" s="381">
        <v>100</v>
      </c>
      <c r="AC45" s="142" t="s">
        <v>1470</v>
      </c>
      <c r="AD45" s="378">
        <v>0.59699999999999998</v>
      </c>
      <c r="AE45" s="370">
        <f>IFERROR(Table5[[#This Row],[Payment Limit 2018 Q3]]/Table5[[#This Row],[HCPCS code dosage 2018 Q3]],"")</f>
        <v>5.9699999999999996E-3</v>
      </c>
      <c r="AF45" s="275" t="s">
        <v>1198</v>
      </c>
      <c r="AG45" s="122">
        <v>7.6600000000000001E-3</v>
      </c>
      <c r="AH45" s="117" t="s">
        <v>1198</v>
      </c>
      <c r="AI45" s="118" t="s">
        <v>1677</v>
      </c>
      <c r="AJ45" s="118" t="s">
        <v>1470</v>
      </c>
      <c r="AK45" s="139">
        <f>IFERROR(VLOOKUP(Table5[[#This Row],[HCPCS code 2019Q3]], ASP2019Q3[], 4, FALSE), "")</f>
        <v>0.58299999999999996</v>
      </c>
      <c r="AL45" s="72">
        <f>IFERROR(Table5[[#This Row],[Payment Limit 2019Q3]]/Table5[[#This Row],[HCPCS code dosage 2019Q3]], "")</f>
        <v>5.8299999999999992E-3</v>
      </c>
      <c r="AM45" s="130" t="s">
        <v>1198</v>
      </c>
      <c r="AN45" s="130" t="s">
        <v>1677</v>
      </c>
      <c r="AO45" s="130" t="s">
        <v>1470</v>
      </c>
      <c r="AP45" s="126">
        <f>IFERROR(VLOOKUP(Table5[[#This Row],[HCPCS code 2020Q1]], ASP2020Q1[], 4, FALSE), "")</f>
        <v>0.80600000000000005</v>
      </c>
      <c r="AQ45" s="77">
        <f>IFERROR(Table5[[#This Row],[Payment Limit 2020Q1]]/Table5[[#This Row],[HCPCS code dosage 2020Q1]], "")</f>
        <v>8.0600000000000012E-3</v>
      </c>
      <c r="AR45" s="133" t="s">
        <v>1198</v>
      </c>
      <c r="AS45" s="130" t="s">
        <v>1677</v>
      </c>
      <c r="AT45" s="130" t="s">
        <v>1470</v>
      </c>
      <c r="AU45" s="132">
        <f>IFERROR(VLOOKUP(Table5[[#This Row],[HCPCS code 2020Q3]], ASP2020Q3[], 4, FALSE), "")</f>
        <v>0.70799999999999996</v>
      </c>
      <c r="AV45" s="72">
        <f>IFERROR(Table5[[#This Row],[Payment limit 2020Q3]]/Table5[[#This Row],[HCPCS code dosage 2020Q3]],"")</f>
        <v>7.0799999999999995E-3</v>
      </c>
      <c r="AW45" s="144" t="s">
        <v>1198</v>
      </c>
      <c r="AX45" s="118" t="s">
        <v>1677</v>
      </c>
      <c r="AY45" s="144" t="s">
        <v>1470</v>
      </c>
      <c r="AZ45" s="144">
        <f>IFERROR(VLOOKUP(Table5[[#This Row],[HCPCS code 2021Q1]], ASP2021Q1[], 4, FALSE), "")</f>
        <v>0.69199999999999995</v>
      </c>
      <c r="BA45" s="122">
        <f>IFERROR(Table5[[#This Row],[Payment limit 2021Q1]]/Table5[[#This Row],[HCPCS code dosage 2021Q1]], "")</f>
        <v>6.9199999999999991E-3</v>
      </c>
      <c r="BB45" s="147" t="s">
        <v>1198</v>
      </c>
      <c r="BC45" s="118" t="s">
        <v>1677</v>
      </c>
      <c r="BD45" s="144" t="s">
        <v>1470</v>
      </c>
      <c r="BE45" s="144">
        <f>IFERROR(VLOOKUP(Table5[[#This Row],[HCPCS code 2021Q3]], ASP2021Q3[], 4, FALSE), "")</f>
        <v>0.68500000000000005</v>
      </c>
      <c r="BF45" s="122">
        <f>IFERROR(Table5[[#This Row],[Payment limit 2021Q3]]/Table5[[#This Row],[HCPCS code dosage 2021Q3]], "")</f>
        <v>6.8500000000000002E-3</v>
      </c>
      <c r="BG45" s="147" t="s">
        <v>1198</v>
      </c>
      <c r="BH45" s="118" t="s">
        <v>1677</v>
      </c>
      <c r="BI45" s="144" t="s">
        <v>1470</v>
      </c>
      <c r="BJ45" s="144">
        <f>IFERROR(VLOOKUP(Table5[[#This Row],[HCPCS code 2022Q1]], ASP2022Q1[], 4, FALSE), "")</f>
        <v>0.88100000000000001</v>
      </c>
      <c r="BK45" s="122">
        <f>IFERROR(Table5[[#This Row],[Payment limit 2022Q1]]/Table5[[#This Row],[HCPCS code dosage 2022Q1]], "")</f>
        <v>8.8100000000000001E-3</v>
      </c>
      <c r="BL45" s="144" t="s">
        <v>1198</v>
      </c>
      <c r="BM45" s="184">
        <v>100</v>
      </c>
      <c r="BN45" s="144" t="s">
        <v>1470</v>
      </c>
      <c r="BO45" s="144">
        <f>IFERROR(VLOOKUP(Table5[[#This Row],[HCPCS Code 2022Q3]], ASP2022Q3[], 4, FALSE), "")</f>
        <v>0.92300000000000004</v>
      </c>
      <c r="BP45" s="122">
        <f>IFERROR(Table5[[#This Row],[Payment limit 2022Q3]]/Table5[[#This Row],[HCPCS code dosage 2022Q3]], "")</f>
        <v>9.2300000000000004E-3</v>
      </c>
      <c r="BQ45" s="144" t="s">
        <v>1198</v>
      </c>
      <c r="BR45" s="118">
        <v>100</v>
      </c>
      <c r="BS45" s="144" t="s">
        <v>1470</v>
      </c>
      <c r="BT45" s="144">
        <v>1.02</v>
      </c>
      <c r="BU45" s="144">
        <f>IFERROR(Table5[[#This Row],[Payment limit 2023Q1]]/Table5[[#This Row],[HCPCS code dosage 2023Q1]], "")</f>
        <v>1.0200000000000001E-2</v>
      </c>
      <c r="BV45" s="79"/>
    </row>
    <row r="46" spans="1:74" x14ac:dyDescent="0.3">
      <c r="A46" s="69" t="s">
        <v>2765</v>
      </c>
      <c r="B46" s="273"/>
      <c r="C46" s="273"/>
      <c r="D46" s="275"/>
      <c r="E46" s="280" t="str">
        <f>IFERROR(VLOOKUP(Table5[[#This Row],[HCPCS code 2016 Q1]], ASP2016Q1[], 4, FALSE), "")</f>
        <v/>
      </c>
      <c r="F46" s="305" t="str">
        <f>IFERROR(Table5[[#This Row],[Payment Limit 2016Q1]]/Table5[[#This Row],[HCPCS code dosage 2016Q1]], "")</f>
        <v/>
      </c>
      <c r="G46" s="273"/>
      <c r="H46" s="273"/>
      <c r="I46" s="275"/>
      <c r="J46" s="280" t="str">
        <f>IFERROR(VLOOKUP(Table5[[#This Row],[HCPCS code 2016 Q3]], ASP2016Q3[], 4, FALSE), "")</f>
        <v/>
      </c>
      <c r="K46" s="305" t="str">
        <f>IFERROR(Table5[[#This Row],[Payment Limit 2016Q3]]/Table5[[#This Row],[HCPCS code dosage 2016Q3]], "")</f>
        <v/>
      </c>
      <c r="L46" s="273"/>
      <c r="M46" s="273"/>
      <c r="N46" s="275"/>
      <c r="O46" s="280" t="str">
        <f>IFERROR(VLOOKUP(Table5[[#This Row],[HCPCS code 2017 Q1]], ASP2017Q1[], 4, FALSE), "")</f>
        <v/>
      </c>
      <c r="P46" s="305" t="str">
        <f>IFERROR(Table5[[#This Row],[Payment Limit 2017Q1]]/Table5[[#This Row],[HCPCS code dosage 2017Q1]], "")</f>
        <v/>
      </c>
      <c r="Q46" s="416"/>
      <c r="R46" s="416"/>
      <c r="S46" s="416"/>
      <c r="T46" s="280" t="str">
        <f>IFERROR(VLOOKUP(Table5[[#This Row],[HCPCS code 2017 Q3]], ASP2017Q3[], 4, FALSE), "")</f>
        <v/>
      </c>
      <c r="U46" s="280" t="str">
        <f>IFERROR(Table5[[#This Row],[Payment Limit 2017Q3]]/Table5[[#This Row],[HCPCS code dosage 2017Q3]], "")</f>
        <v/>
      </c>
      <c r="V46" s="374"/>
      <c r="W46" s="510"/>
      <c r="X46" s="416"/>
      <c r="Y46" s="280"/>
      <c r="Z46" s="305" t="str">
        <f>IFERROR(Table5[[#This Row],[Payment Limit 2018 Q1]]/Table5[[#This Row],[HCPCS code dosage 2018 Q1]],"")</f>
        <v/>
      </c>
      <c r="AA46" s="374"/>
      <c r="AB46" s="381"/>
      <c r="AC46" s="142"/>
      <c r="AD46" s="378"/>
      <c r="AE46" s="305" t="str">
        <f>IFERROR(Table5[[#This Row],[Payment Limit 2018 Q3]]/Table5[[#This Row],[HCPCS code dosage 2018 Q3]],"")</f>
        <v/>
      </c>
      <c r="AF46" s="416"/>
      <c r="AG46" s="122"/>
      <c r="AH46" s="117"/>
      <c r="AI46" s="118"/>
      <c r="AJ46" s="118"/>
      <c r="AK46" s="132" t="str">
        <f>IFERROR(VLOOKUP(Table5[[#This Row],[HCPCS code 2019Q3]], ASP2019Q3[], 4, FALSE), "")</f>
        <v/>
      </c>
      <c r="AL46" s="72" t="str">
        <f>IFERROR(Table5[[#This Row],[Payment Limit 2019Q3]]/Table5[[#This Row],[HCPCS code dosage 2019Q3]], "")</f>
        <v/>
      </c>
      <c r="AM46" s="130"/>
      <c r="AN46" s="130"/>
      <c r="AO46" s="130"/>
      <c r="AP46" s="126" t="str">
        <f>IFERROR(VLOOKUP(Table5[[#This Row],[HCPCS code 2020Q1]], ASP2020Q1[], 4, FALSE), "")</f>
        <v/>
      </c>
      <c r="AQ46" s="77" t="str">
        <f>IFERROR(Table5[[#This Row],[Payment Limit 2020Q1]]/Table5[[#This Row],[HCPCS code dosage 2020Q1]], "")</f>
        <v/>
      </c>
      <c r="AR46" s="133"/>
      <c r="AS46" s="130"/>
      <c r="AT46" s="130"/>
      <c r="AU46" s="132" t="str">
        <f>IFERROR(VLOOKUP(Table5[[#This Row],[HCPCS code 2020Q3]], ASP2020Q3[], 4, FALSE), "")</f>
        <v/>
      </c>
      <c r="AV46" s="72" t="str">
        <f>IFERROR(Table5[[#This Row],[Payment limit 2020Q3]]/Table5[[#This Row],[HCPCS code dosage 2020Q3]],"")</f>
        <v/>
      </c>
      <c r="AW46" s="144" t="s">
        <v>1198</v>
      </c>
      <c r="AX46" s="118">
        <v>100</v>
      </c>
      <c r="AY46" s="144" t="s">
        <v>1470</v>
      </c>
      <c r="AZ46" s="144">
        <f>IFERROR(VLOOKUP(Table5[[#This Row],[HCPCS code 2021Q1]], ASP2021Q1[], 4, FALSE), "")</f>
        <v>0.69199999999999995</v>
      </c>
      <c r="BA46" s="122">
        <f>IFERROR(Table5[[#This Row],[Payment limit 2021Q1]]/Table5[[#This Row],[HCPCS code dosage 2021Q1]], "")</f>
        <v>6.9199999999999991E-3</v>
      </c>
      <c r="BB46" s="147" t="s">
        <v>1198</v>
      </c>
      <c r="BC46" s="118">
        <v>100</v>
      </c>
      <c r="BD46" s="144" t="s">
        <v>1470</v>
      </c>
      <c r="BE46" s="144">
        <f>IFERROR(VLOOKUP(Table5[[#This Row],[HCPCS code 2021Q3]], ASP2021Q3[], 4, FALSE), "")</f>
        <v>0.68500000000000005</v>
      </c>
      <c r="BF46" s="122">
        <f>IFERROR(Table5[[#This Row],[Payment limit 2021Q3]]/Table5[[#This Row],[HCPCS code dosage 2021Q3]], "")</f>
        <v>6.8500000000000002E-3</v>
      </c>
      <c r="BG46" s="147"/>
      <c r="BH46" s="118"/>
      <c r="BI46" s="144"/>
      <c r="BJ46" s="144" t="str">
        <f>IFERROR(VLOOKUP(Table5[[#This Row],[HCPCS code 2022Q1]], ASP2022Q1[], 4, FALSE), "")</f>
        <v/>
      </c>
      <c r="BK46" s="122" t="str">
        <f>IFERROR(Table5[[#This Row],[Payment limit 2022Q1]]/Table5[[#This Row],[HCPCS code dosage 2022Q1]], "")</f>
        <v/>
      </c>
      <c r="BL46" s="144"/>
      <c r="BM46" s="184"/>
      <c r="BN46" s="144"/>
      <c r="BO46" s="144" t="str">
        <f>IFERROR(VLOOKUP(Table5[[#This Row],[HCPCS Code 2022Q3]], ASP2022Q3[], 4, FALSE), "")</f>
        <v/>
      </c>
      <c r="BP46" s="122" t="str">
        <f>IFERROR(Table5[[#This Row],[Payment limit 2022Q3]]/Table5[[#This Row],[HCPCS code dosage 2022Q3]], "")</f>
        <v/>
      </c>
      <c r="BQ46" s="144"/>
      <c r="BR46" s="521"/>
      <c r="BS46" s="144"/>
      <c r="BT46" s="144"/>
      <c r="BU46" s="144" t="str">
        <f>IFERROR(Table5[[#This Row],[Payment limit 2023Q1]]/Table5[[#This Row],[HCPCS code dosage 2023Q1]], "")</f>
        <v/>
      </c>
      <c r="BV46" s="79"/>
    </row>
    <row r="47" spans="1:74" x14ac:dyDescent="0.3">
      <c r="A47" s="62" t="s">
        <v>81</v>
      </c>
      <c r="B47" s="286" t="s">
        <v>1202</v>
      </c>
      <c r="C47" s="286">
        <v>100</v>
      </c>
      <c r="D47" s="307" t="s">
        <v>1470</v>
      </c>
      <c r="E47" s="292">
        <f>IFERROR(VLOOKUP(Table5[[#This Row],[HCPCS code 2016 Q1]], ASP2016Q1[], 4, FALSE), "")</f>
        <v>3.782</v>
      </c>
      <c r="F47" s="303">
        <f>IFERROR(Table5[[#This Row],[Payment Limit 2016Q1]]/Table5[[#This Row],[HCPCS code dosage 2016Q1]], "")</f>
        <v>3.7819999999999999E-2</v>
      </c>
      <c r="G47" s="286" t="s">
        <v>1202</v>
      </c>
      <c r="H47" s="286">
        <v>100</v>
      </c>
      <c r="I47" s="307" t="s">
        <v>1470</v>
      </c>
      <c r="J47" s="292">
        <f>IFERROR(VLOOKUP(Table5[[#This Row],[HCPCS code 2016 Q3]], ASP2016Q3[], 4, FALSE), "")</f>
        <v>3.96</v>
      </c>
      <c r="K47" s="303">
        <f>IFERROR(Table5[[#This Row],[Payment Limit 2016Q3]]/Table5[[#This Row],[HCPCS code dosage 2016Q3]], "")</f>
        <v>3.9599999999999996E-2</v>
      </c>
      <c r="L47" s="286" t="s">
        <v>1202</v>
      </c>
      <c r="M47" s="286">
        <v>100</v>
      </c>
      <c r="N47" s="307" t="s">
        <v>1470</v>
      </c>
      <c r="O47" s="291">
        <f>IFERROR(VLOOKUP(Table5[[#This Row],[HCPCS code 2017 Q1]], ASP2017Q1[], 4, FALSE), "")</f>
        <v>4.1959999999999997</v>
      </c>
      <c r="P47" s="302">
        <f>IFERROR(Table5[[#This Row],[Payment Limit 2017Q1]]/Table5[[#This Row],[HCPCS code dosage 2017Q1]], "")</f>
        <v>4.1959999999999997E-2</v>
      </c>
      <c r="Q47" s="275" t="s">
        <v>1202</v>
      </c>
      <c r="R47" s="275">
        <v>100</v>
      </c>
      <c r="S47" s="275" t="s">
        <v>1470</v>
      </c>
      <c r="T47" s="279">
        <f>IFERROR(VLOOKUP(Table5[[#This Row],[HCPCS code 2017 Q3]], ASP2017Q3[], 4, FALSE), "")</f>
        <v>3.9119999999999999</v>
      </c>
      <c r="U47" s="279">
        <f>IFERROR(Table5[[#This Row],[Payment Limit 2017Q3]]/Table5[[#This Row],[HCPCS code dosage 2017Q3]], "")</f>
        <v>3.9120000000000002E-2</v>
      </c>
      <c r="V47" s="374" t="s">
        <v>1202</v>
      </c>
      <c r="W47" s="377">
        <v>100</v>
      </c>
      <c r="X47" s="142" t="s">
        <v>1470</v>
      </c>
      <c r="Y47" s="279">
        <v>3.8119999999999998</v>
      </c>
      <c r="Z47" s="370">
        <f>IFERROR(Table5[[#This Row],[Payment Limit 2018 Q1]]/Table5[[#This Row],[HCPCS code dosage 2018 Q1]],"")</f>
        <v>3.8120000000000001E-2</v>
      </c>
      <c r="AA47" s="374" t="s">
        <v>1202</v>
      </c>
      <c r="AB47" s="381">
        <v>100</v>
      </c>
      <c r="AC47" s="142" t="s">
        <v>1470</v>
      </c>
      <c r="AD47" s="378">
        <v>3.931</v>
      </c>
      <c r="AE47" s="370">
        <f>IFERROR(Table5[[#This Row],[Payment Limit 2018 Q3]]/Table5[[#This Row],[HCPCS code dosage 2018 Q3]],"")</f>
        <v>3.9309999999999998E-2</v>
      </c>
      <c r="AF47" s="275" t="s">
        <v>1202</v>
      </c>
      <c r="AG47" s="195">
        <v>4.6710000000000002E-2</v>
      </c>
      <c r="AH47" s="117" t="s">
        <v>1202</v>
      </c>
      <c r="AI47" s="118" t="s">
        <v>1677</v>
      </c>
      <c r="AJ47" s="118" t="s">
        <v>1470</v>
      </c>
      <c r="AK47" s="115">
        <f>IFERROR(VLOOKUP(Table5[[#This Row],[HCPCS code 2019Q3]], ASP2019Q3[], 4, FALSE), "")</f>
        <v>4.0579999999999998</v>
      </c>
      <c r="AL47" s="140">
        <f>IFERROR(Table5[[#This Row],[Payment Limit 2019Q3]]/Table5[[#This Row],[HCPCS code dosage 2019Q3]], "")</f>
        <v>4.0579999999999998E-2</v>
      </c>
      <c r="AM47" s="130" t="s">
        <v>1202</v>
      </c>
      <c r="AN47" s="130" t="s">
        <v>1677</v>
      </c>
      <c r="AO47" s="130" t="s">
        <v>1470</v>
      </c>
      <c r="AP47" s="126">
        <f>IFERROR(VLOOKUP(Table5[[#This Row],[HCPCS code 2020Q1]], ASP2020Q1[], 4, FALSE), "")</f>
        <v>4.0720000000000001</v>
      </c>
      <c r="AQ47" s="141">
        <f>IFERROR(Table5[[#This Row],[Payment Limit 2020Q1]]/Table5[[#This Row],[HCPCS code dosage 2020Q1]], "")</f>
        <v>4.0719999999999999E-2</v>
      </c>
      <c r="AR47" s="133" t="s">
        <v>1202</v>
      </c>
      <c r="AS47" s="130" t="s">
        <v>1677</v>
      </c>
      <c r="AT47" s="130" t="s">
        <v>1470</v>
      </c>
      <c r="AU47" s="132">
        <f>IFERROR(VLOOKUP(Table5[[#This Row],[HCPCS code 2020Q3]], ASP2020Q3[], 4, FALSE), "")</f>
        <v>4.274</v>
      </c>
      <c r="AV47" s="140">
        <f>IFERROR(Table5[[#This Row],[Payment limit 2020Q3]]/Table5[[#This Row],[HCPCS code dosage 2020Q3]],"")</f>
        <v>4.274E-2</v>
      </c>
      <c r="AW47" s="144" t="s">
        <v>1202</v>
      </c>
      <c r="AX47" s="118" t="s">
        <v>1677</v>
      </c>
      <c r="AY47" s="144" t="s">
        <v>1470</v>
      </c>
      <c r="AZ47" s="144">
        <f>IFERROR(VLOOKUP(Table5[[#This Row],[HCPCS code 2021Q1]], ASP2021Q1[], 4, FALSE), "")</f>
        <v>4.8460000000000001</v>
      </c>
      <c r="BA47" s="144">
        <f>IFERROR(Table5[[#This Row],[Payment limit 2021Q1]]/Table5[[#This Row],[HCPCS code dosage 2021Q1]], "")</f>
        <v>4.8460000000000003E-2</v>
      </c>
      <c r="BB47" s="147" t="s">
        <v>1202</v>
      </c>
      <c r="BC47" s="118" t="s">
        <v>1677</v>
      </c>
      <c r="BD47" s="144" t="s">
        <v>1470</v>
      </c>
      <c r="BE47" s="144">
        <f>IFERROR(VLOOKUP(Table5[[#This Row],[HCPCS code 2021Q3]], ASP2021Q3[], 4, FALSE), "")</f>
        <v>4.3010000000000002</v>
      </c>
      <c r="BF47" s="144">
        <f>IFERROR(Table5[[#This Row],[Payment limit 2021Q3]]/Table5[[#This Row],[HCPCS code dosage 2021Q3]], "")</f>
        <v>4.301E-2</v>
      </c>
      <c r="BG47" s="147" t="s">
        <v>1202</v>
      </c>
      <c r="BH47" s="118" t="s">
        <v>1677</v>
      </c>
      <c r="BI47" s="144" t="s">
        <v>1470</v>
      </c>
      <c r="BJ47" s="144">
        <f>IFERROR(VLOOKUP(Table5[[#This Row],[HCPCS code 2022Q1]], ASP2022Q1[], 4, FALSE), "")</f>
        <v>3.6160000000000001</v>
      </c>
      <c r="BK47" s="144">
        <f>IFERROR(Table5[[#This Row],[Payment limit 2022Q1]]/Table5[[#This Row],[HCPCS code dosage 2022Q1]], "")</f>
        <v>3.6159999999999998E-2</v>
      </c>
      <c r="BL47" s="146" t="s">
        <v>1202</v>
      </c>
      <c r="BM47" s="185">
        <v>100</v>
      </c>
      <c r="BN47" s="146" t="s">
        <v>1470</v>
      </c>
      <c r="BO47" s="146">
        <f>IFERROR(VLOOKUP(Table5[[#This Row],[HCPCS Code 2022Q3]], ASP2022Q3[], 4, FALSE), "")</f>
        <v>4.0119999999999996</v>
      </c>
      <c r="BP47" s="123">
        <f>IFERROR(Table5[[#This Row],[Payment limit 2022Q3]]/Table5[[#This Row],[HCPCS code dosage 2022Q3]], "")</f>
        <v>4.0119999999999996E-2</v>
      </c>
      <c r="BQ47" s="146" t="s">
        <v>1202</v>
      </c>
      <c r="BR47" s="120">
        <v>100</v>
      </c>
      <c r="BS47" s="146" t="s">
        <v>1470</v>
      </c>
      <c r="BT47" s="146">
        <v>4.2350000000000003</v>
      </c>
      <c r="BU47" s="146">
        <f>IFERROR(Table5[[#This Row],[Payment limit 2023Q1]]/Table5[[#This Row],[HCPCS code dosage 2023Q1]], "")</f>
        <v>4.2350000000000006E-2</v>
      </c>
      <c r="BV47" s="196"/>
    </row>
    <row r="48" spans="1:74" x14ac:dyDescent="0.3">
      <c r="A48" s="62" t="s">
        <v>173</v>
      </c>
      <c r="B48" s="286" t="s">
        <v>1200</v>
      </c>
      <c r="C48" s="286">
        <v>0.5</v>
      </c>
      <c r="D48" s="307" t="s">
        <v>1470</v>
      </c>
      <c r="E48" s="292">
        <f>IFERROR(VLOOKUP(Table5[[#This Row],[HCPCS code 2016 Q1]], ASP2016Q1[], 4, FALSE), "")</f>
        <v>1160.3399999999999</v>
      </c>
      <c r="F48" s="303">
        <f>IFERROR(Table5[[#This Row],[Payment Limit 2016Q1]]/Table5[[#This Row],[HCPCS code dosage 2016Q1]], "")</f>
        <v>2320.6799999999998</v>
      </c>
      <c r="G48" s="286" t="s">
        <v>1200</v>
      </c>
      <c r="H48" s="286">
        <v>0.5</v>
      </c>
      <c r="I48" s="307" t="s">
        <v>1470</v>
      </c>
      <c r="J48" s="292">
        <f>IFERROR(VLOOKUP(Table5[[#This Row],[HCPCS code 2016 Q3]], ASP2016Q3[], 4, FALSE), "")</f>
        <v>1258.029</v>
      </c>
      <c r="K48" s="303">
        <f>IFERROR(Table5[[#This Row],[Payment Limit 2016Q3]]/Table5[[#This Row],[HCPCS code dosage 2016Q3]], "")</f>
        <v>2516.058</v>
      </c>
      <c r="L48" s="286" t="s">
        <v>1200</v>
      </c>
      <c r="M48" s="286">
        <v>0.5</v>
      </c>
      <c r="N48" s="307" t="s">
        <v>1470</v>
      </c>
      <c r="O48" s="291">
        <f>IFERROR(VLOOKUP(Table5[[#This Row],[HCPCS code 2017 Q1]], ASP2017Q1[], 4, FALSE), "")</f>
        <v>1276.3779999999999</v>
      </c>
      <c r="P48" s="302">
        <f>IFERROR(Table5[[#This Row],[Payment Limit 2017Q1]]/Table5[[#This Row],[HCPCS code dosage 2017Q1]], "")</f>
        <v>2552.7559999999999</v>
      </c>
      <c r="Q48" s="275" t="s">
        <v>1200</v>
      </c>
      <c r="R48" s="275">
        <v>0.5</v>
      </c>
      <c r="S48" s="275" t="s">
        <v>1470</v>
      </c>
      <c r="T48" s="279">
        <f>IFERROR(VLOOKUP(Table5[[#This Row],[HCPCS code 2017 Q3]], ASP2017Q3[], 4, FALSE), "")</f>
        <v>1370.0820000000001</v>
      </c>
      <c r="U48" s="279">
        <f>IFERROR(Table5[[#This Row],[Payment Limit 2017Q3]]/Table5[[#This Row],[HCPCS code dosage 2017Q3]], "")</f>
        <v>2740.1640000000002</v>
      </c>
      <c r="V48" s="374" t="s">
        <v>1200</v>
      </c>
      <c r="W48" s="377">
        <v>0.5</v>
      </c>
      <c r="X48" s="142" t="s">
        <v>1470</v>
      </c>
      <c r="Y48" s="279">
        <v>1404.0119999999999</v>
      </c>
      <c r="Z48" s="370">
        <f>IFERROR(Table5[[#This Row],[Payment Limit 2018 Q1]]/Table5[[#This Row],[HCPCS code dosage 2018 Q1]],"")</f>
        <v>2808.0239999999999</v>
      </c>
      <c r="AA48" s="374" t="s">
        <v>1200</v>
      </c>
      <c r="AB48" s="381">
        <v>0.5</v>
      </c>
      <c r="AC48" s="142" t="s">
        <v>1470</v>
      </c>
      <c r="AD48" s="378">
        <v>1574.0650000000001</v>
      </c>
      <c r="AE48" s="370">
        <f>IFERROR(Table5[[#This Row],[Payment Limit 2018 Q3]]/Table5[[#This Row],[HCPCS code dosage 2018 Q3]],"")</f>
        <v>3148.13</v>
      </c>
      <c r="AF48" s="275" t="s">
        <v>1200</v>
      </c>
      <c r="AG48" s="122">
        <v>2910.7660000000001</v>
      </c>
      <c r="AH48" s="117" t="s">
        <v>1200</v>
      </c>
      <c r="AI48" s="118" t="s">
        <v>1675</v>
      </c>
      <c r="AJ48" s="118" t="s">
        <v>1470</v>
      </c>
      <c r="AK48" s="115">
        <f>IFERROR(VLOOKUP(Table5[[#This Row],[HCPCS code 2019Q3]], ASP2019Q3[], 4, FALSE), "")</f>
        <v>1094.1790000000001</v>
      </c>
      <c r="AL48" s="72">
        <f>IFERROR(Table5[[#This Row],[Payment Limit 2019Q3]]/Table5[[#This Row],[HCPCS code dosage 2019Q3]], "")</f>
        <v>2188.3580000000002</v>
      </c>
      <c r="AM48" s="130" t="s">
        <v>1200</v>
      </c>
      <c r="AN48" s="130" t="s">
        <v>1675</v>
      </c>
      <c r="AO48" s="130" t="s">
        <v>1470</v>
      </c>
      <c r="AP48" s="126">
        <f>IFERROR(VLOOKUP(Table5[[#This Row],[HCPCS code 2020Q1]], ASP2020Q1[], 4, FALSE), "")</f>
        <v>1106.4549999999999</v>
      </c>
      <c r="AQ48" s="77">
        <f>IFERROR(Table5[[#This Row],[Payment Limit 2020Q1]]/Table5[[#This Row],[HCPCS code dosage 2020Q1]], "")</f>
        <v>2212.91</v>
      </c>
      <c r="AR48" s="133" t="s">
        <v>1200</v>
      </c>
      <c r="AS48" s="130" t="s">
        <v>1675</v>
      </c>
      <c r="AT48" s="130" t="s">
        <v>1470</v>
      </c>
      <c r="AU48" s="132">
        <f>IFERROR(VLOOKUP(Table5[[#This Row],[HCPCS code 2020Q3]], ASP2020Q3[], 4, FALSE), "")</f>
        <v>1101.7329999999999</v>
      </c>
      <c r="AV48" s="72">
        <f>IFERROR(Table5[[#This Row],[Payment limit 2020Q3]]/Table5[[#This Row],[HCPCS code dosage 2020Q3]],"")</f>
        <v>2203.4659999999999</v>
      </c>
      <c r="AW48" s="144" t="s">
        <v>1200</v>
      </c>
      <c r="AX48" s="118" t="s">
        <v>1675</v>
      </c>
      <c r="AY48" s="144" t="s">
        <v>1470</v>
      </c>
      <c r="AZ48" s="144">
        <f>IFERROR(VLOOKUP(Table5[[#This Row],[HCPCS code 2021Q1]], ASP2021Q1[], 4, FALSE), "")</f>
        <v>934.15800000000002</v>
      </c>
      <c r="BA48" s="122">
        <f>IFERROR(Table5[[#This Row],[Payment limit 2021Q1]]/Table5[[#This Row],[HCPCS code dosage 2021Q1]], "")</f>
        <v>1868.316</v>
      </c>
      <c r="BB48" s="147" t="s">
        <v>1200</v>
      </c>
      <c r="BC48" s="118" t="s">
        <v>1675</v>
      </c>
      <c r="BD48" s="144" t="s">
        <v>1470</v>
      </c>
      <c r="BE48" s="144">
        <f>IFERROR(VLOOKUP(Table5[[#This Row],[HCPCS code 2021Q3]], ASP2021Q3[], 4, FALSE), "")</f>
        <v>942.71699999999998</v>
      </c>
      <c r="BF48" s="122">
        <f>IFERROR(Table5[[#This Row],[Payment limit 2021Q3]]/Table5[[#This Row],[HCPCS code dosage 2021Q3]], "")</f>
        <v>1885.434</v>
      </c>
      <c r="BG48" s="147" t="s">
        <v>1200</v>
      </c>
      <c r="BH48" s="118" t="s">
        <v>1675</v>
      </c>
      <c r="BI48" s="144" t="s">
        <v>1470</v>
      </c>
      <c r="BJ48" s="144">
        <f>IFERROR(VLOOKUP(Table5[[#This Row],[HCPCS code 2022Q1]], ASP2022Q1[], 4, FALSE), "")</f>
        <v>838.87900000000002</v>
      </c>
      <c r="BK48" s="122">
        <f>IFERROR(Table5[[#This Row],[Payment limit 2022Q1]]/Table5[[#This Row],[HCPCS code dosage 2022Q1]], "")</f>
        <v>1677.758</v>
      </c>
      <c r="BL48" s="144" t="s">
        <v>1200</v>
      </c>
      <c r="BM48" s="184">
        <v>0.5</v>
      </c>
      <c r="BN48" s="144" t="s">
        <v>1470</v>
      </c>
      <c r="BO48" s="144">
        <f>IFERROR(VLOOKUP(Table5[[#This Row],[HCPCS Code 2022Q3]], ASP2022Q3[], 4, FALSE), "")</f>
        <v>633.76499999999999</v>
      </c>
      <c r="BP48" s="122">
        <f>IFERROR(Table5[[#This Row],[Payment limit 2022Q3]]/Table5[[#This Row],[HCPCS code dosage 2022Q3]], "")</f>
        <v>1267.53</v>
      </c>
      <c r="BQ48" s="144" t="s">
        <v>1200</v>
      </c>
      <c r="BR48" s="118">
        <v>0.5</v>
      </c>
      <c r="BS48" s="144" t="s">
        <v>1470</v>
      </c>
      <c r="BT48" s="146">
        <v>604.79200000000003</v>
      </c>
      <c r="BU48" s="144">
        <f>IFERROR(Table5[[#This Row],[Payment limit 2023Q1]]/Table5[[#This Row],[HCPCS code dosage 2023Q1]], "")</f>
        <v>1209.5840000000001</v>
      </c>
      <c r="BV48" s="79"/>
    </row>
    <row r="49" spans="1:74" x14ac:dyDescent="0.3">
      <c r="A49" s="62" t="s">
        <v>124</v>
      </c>
      <c r="B49" s="286" t="s">
        <v>1204</v>
      </c>
      <c r="C49" s="286">
        <v>10</v>
      </c>
      <c r="D49" s="307" t="s">
        <v>1470</v>
      </c>
      <c r="E49" s="291">
        <f>IFERROR(VLOOKUP(Table5[[#This Row],[HCPCS code 2017 Q1]], ASP2017Q1[], 4, FALSE), "")</f>
        <v>46.921999999999997</v>
      </c>
      <c r="F49" s="303">
        <f>IFERROR(Table5[[#This Row],[Payment Limit 2016Q1]]/Table5[[#This Row],[HCPCS code dosage 2016Q1]], "")</f>
        <v>4.6921999999999997</v>
      </c>
      <c r="G49" s="286" t="s">
        <v>1204</v>
      </c>
      <c r="H49" s="286">
        <v>10</v>
      </c>
      <c r="I49" s="307" t="s">
        <v>1470</v>
      </c>
      <c r="J49" s="291">
        <f>IFERROR(VLOOKUP(Table5[[#This Row],[HCPCS code 2017 Q1]], ASP2017Q1[], 4, FALSE), "")</f>
        <v>46.921999999999997</v>
      </c>
      <c r="K49" s="303">
        <f>IFERROR(Table5[[#This Row],[Payment Limit 2016Q3]]/Table5[[#This Row],[HCPCS code dosage 2016Q3]], "")</f>
        <v>4.6921999999999997</v>
      </c>
      <c r="L49" s="286" t="s">
        <v>1204</v>
      </c>
      <c r="M49" s="286">
        <v>10</v>
      </c>
      <c r="N49" s="307" t="s">
        <v>1470</v>
      </c>
      <c r="O49" s="291">
        <f>IFERROR(VLOOKUP(Table5[[#This Row],[HCPCS code 2017 Q1]], ASP2017Q1[], 4, FALSE), "")</f>
        <v>46.921999999999997</v>
      </c>
      <c r="P49" s="302">
        <f>IFERROR(Table5[[#This Row],[Payment Limit 2017Q1]]/Table5[[#This Row],[HCPCS code dosage 2017Q1]], "")</f>
        <v>4.6921999999999997</v>
      </c>
      <c r="Q49" s="275" t="s">
        <v>1204</v>
      </c>
      <c r="R49" s="275">
        <v>10</v>
      </c>
      <c r="S49" s="275" t="s">
        <v>1470</v>
      </c>
      <c r="T49" s="279">
        <f>IFERROR(VLOOKUP(Table5[[#This Row],[HCPCS code 2017 Q3]], ASP2017Q3[], 4, FALSE), "")</f>
        <v>48.612000000000002</v>
      </c>
      <c r="U49" s="279">
        <f>IFERROR(Table5[[#This Row],[Payment Limit 2017Q3]]/Table5[[#This Row],[HCPCS code dosage 2017Q3]], "")</f>
        <v>4.8612000000000002</v>
      </c>
      <c r="V49" s="374" t="s">
        <v>1204</v>
      </c>
      <c r="W49" s="377">
        <v>10</v>
      </c>
      <c r="X49" s="142" t="s">
        <v>1470</v>
      </c>
      <c r="Y49" s="279">
        <v>49.500999999999998</v>
      </c>
      <c r="Z49" s="370">
        <f>IFERROR(Table5[[#This Row],[Payment Limit 2018 Q1]]/Table5[[#This Row],[HCPCS code dosage 2018 Q1]],"")</f>
        <v>4.9500999999999999</v>
      </c>
      <c r="AA49" s="374" t="s">
        <v>1204</v>
      </c>
      <c r="AB49" s="381">
        <v>10</v>
      </c>
      <c r="AC49" s="142" t="s">
        <v>1470</v>
      </c>
      <c r="AD49" s="378">
        <v>50.948999999999998</v>
      </c>
      <c r="AE49" s="370">
        <f>IFERROR(Table5[[#This Row],[Payment Limit 2018 Q3]]/Table5[[#This Row],[HCPCS code dosage 2018 Q3]],"")</f>
        <v>5.0949</v>
      </c>
      <c r="AF49" s="275" t="s">
        <v>1204</v>
      </c>
      <c r="AG49" s="122">
        <v>5.2304000000000004</v>
      </c>
      <c r="AH49" s="117" t="s">
        <v>1204</v>
      </c>
      <c r="AI49" s="118" t="s">
        <v>1664</v>
      </c>
      <c r="AJ49" s="118" t="s">
        <v>1470</v>
      </c>
      <c r="AK49" s="115">
        <f>IFERROR(VLOOKUP(Table5[[#This Row],[HCPCS code 2019Q3]], ASP2019Q3[], 4, FALSE), "")</f>
        <v>53.750999999999998</v>
      </c>
      <c r="AL49" s="72">
        <f>IFERROR(Table5[[#This Row],[Payment Limit 2019Q3]]/Table5[[#This Row],[HCPCS code dosage 2019Q3]], "")</f>
        <v>5.3750999999999998</v>
      </c>
      <c r="AM49" s="130" t="s">
        <v>1204</v>
      </c>
      <c r="AN49" s="130" t="s">
        <v>1664</v>
      </c>
      <c r="AO49" s="130" t="s">
        <v>1470</v>
      </c>
      <c r="AP49" s="126">
        <f>IFERROR(VLOOKUP(Table5[[#This Row],[HCPCS code 2020Q1]], ASP2020Q1[], 4, FALSE), "")</f>
        <v>54.03</v>
      </c>
      <c r="AQ49" s="77">
        <f>IFERROR(Table5[[#This Row],[Payment Limit 2020Q1]]/Table5[[#This Row],[HCPCS code dosage 2020Q1]], "")</f>
        <v>5.4030000000000005</v>
      </c>
      <c r="AR49" s="133" t="s">
        <v>1204</v>
      </c>
      <c r="AS49" s="130" t="s">
        <v>1664</v>
      </c>
      <c r="AT49" s="130" t="s">
        <v>1470</v>
      </c>
      <c r="AU49" s="132">
        <f>IFERROR(VLOOKUP(Table5[[#This Row],[HCPCS code 2020Q3]], ASP2020Q3[], 4, FALSE), "")</f>
        <v>56.063000000000002</v>
      </c>
      <c r="AV49" s="72">
        <f>IFERROR(Table5[[#This Row],[Payment limit 2020Q3]]/Table5[[#This Row],[HCPCS code dosage 2020Q3]],"")</f>
        <v>5.6063000000000001</v>
      </c>
      <c r="AW49" s="144" t="s">
        <v>1204</v>
      </c>
      <c r="AX49" s="118" t="s">
        <v>1664</v>
      </c>
      <c r="AY49" s="144" t="s">
        <v>1470</v>
      </c>
      <c r="AZ49" s="144">
        <f>IFERROR(VLOOKUP(Table5[[#This Row],[HCPCS code 2021Q1]], ASP2021Q1[], 4, FALSE), "")</f>
        <v>56.036999999999999</v>
      </c>
      <c r="BA49" s="122">
        <f>IFERROR(Table5[[#This Row],[Payment limit 2021Q1]]/Table5[[#This Row],[HCPCS code dosage 2021Q1]], "")</f>
        <v>5.6036999999999999</v>
      </c>
      <c r="BB49" s="147" t="s">
        <v>1204</v>
      </c>
      <c r="BC49" s="118" t="s">
        <v>1664</v>
      </c>
      <c r="BD49" s="144" t="s">
        <v>1470</v>
      </c>
      <c r="BE49" s="144">
        <f>IFERROR(VLOOKUP(Table5[[#This Row],[HCPCS code 2021Q3]], ASP2021Q3[], 4, FALSE), "")</f>
        <v>57.636000000000003</v>
      </c>
      <c r="BF49" s="122">
        <f>IFERROR(Table5[[#This Row],[Payment limit 2021Q3]]/Table5[[#This Row],[HCPCS code dosage 2021Q3]], "")</f>
        <v>5.7636000000000003</v>
      </c>
      <c r="BG49" s="147" t="s">
        <v>1204</v>
      </c>
      <c r="BH49" s="118" t="s">
        <v>1664</v>
      </c>
      <c r="BI49" s="144" t="s">
        <v>1470</v>
      </c>
      <c r="BJ49" s="144">
        <f>IFERROR(VLOOKUP(Table5[[#This Row],[HCPCS code 2022Q1]], ASP2022Q1[], 4, FALSE), "")</f>
        <v>57.222000000000001</v>
      </c>
      <c r="BK49" s="122">
        <f>IFERROR(Table5[[#This Row],[Payment limit 2022Q1]]/Table5[[#This Row],[HCPCS code dosage 2022Q1]], "")</f>
        <v>5.7222</v>
      </c>
      <c r="BL49" s="144" t="s">
        <v>1204</v>
      </c>
      <c r="BM49" s="184">
        <v>10</v>
      </c>
      <c r="BN49" s="144" t="s">
        <v>1470</v>
      </c>
      <c r="BO49" s="144">
        <f>IFERROR(VLOOKUP(Table5[[#This Row],[HCPCS Code 2022Q3]], ASP2022Q3[], 4, FALSE), "")</f>
        <v>58.749000000000002</v>
      </c>
      <c r="BP49" s="122">
        <f>IFERROR(Table5[[#This Row],[Payment limit 2022Q3]]/Table5[[#This Row],[HCPCS code dosage 2022Q3]], "")</f>
        <v>5.8749000000000002</v>
      </c>
      <c r="BQ49" s="144" t="s">
        <v>1204</v>
      </c>
      <c r="BR49" s="118">
        <v>10</v>
      </c>
      <c r="BS49" s="144" t="s">
        <v>1470</v>
      </c>
      <c r="BT49" s="144">
        <v>58.923999999999999</v>
      </c>
      <c r="BU49" s="144">
        <f>IFERROR(Table5[[#This Row],[Payment limit 2023Q1]]/Table5[[#This Row],[HCPCS code dosage 2023Q1]], "")</f>
        <v>5.8924000000000003</v>
      </c>
      <c r="BV49" s="79"/>
    </row>
    <row r="50" spans="1:74" x14ac:dyDescent="0.3">
      <c r="A50" s="62" t="s">
        <v>171</v>
      </c>
      <c r="B50" s="286" t="s">
        <v>1206</v>
      </c>
      <c r="C50" s="286">
        <v>10</v>
      </c>
      <c r="D50" s="307" t="s">
        <v>1470</v>
      </c>
      <c r="E50" s="292">
        <f>IFERROR(VLOOKUP(Table5[[#This Row],[HCPCS code 2016 Q1]], ASP2016Q1[], 4, FALSE), "")</f>
        <v>26.463999999999999</v>
      </c>
      <c r="F50" s="303">
        <f>IFERROR(Table5[[#This Row],[Payment Limit 2016Q1]]/Table5[[#This Row],[HCPCS code dosage 2016Q1]], "")</f>
        <v>2.6463999999999999</v>
      </c>
      <c r="G50" s="286" t="s">
        <v>1206</v>
      </c>
      <c r="H50" s="286">
        <v>10</v>
      </c>
      <c r="I50" s="307" t="s">
        <v>1470</v>
      </c>
      <c r="J50" s="292">
        <f>IFERROR(VLOOKUP(Table5[[#This Row],[HCPCS code 2016 Q3]], ASP2016Q3[], 4, FALSE), "")</f>
        <v>37.688000000000002</v>
      </c>
      <c r="K50" s="303">
        <f>IFERROR(Table5[[#This Row],[Payment Limit 2016Q3]]/Table5[[#This Row],[HCPCS code dosage 2016Q3]], "")</f>
        <v>3.7688000000000001</v>
      </c>
      <c r="L50" s="286" t="s">
        <v>1206</v>
      </c>
      <c r="M50" s="286">
        <v>10</v>
      </c>
      <c r="N50" s="307" t="s">
        <v>1470</v>
      </c>
      <c r="O50" s="291">
        <f>IFERROR(VLOOKUP(Table5[[#This Row],[HCPCS code 2017 Q1]], ASP2017Q1[], 4, FALSE), "")</f>
        <v>31.391999999999999</v>
      </c>
      <c r="P50" s="302">
        <f>IFERROR(Table5[[#This Row],[Payment Limit 2017Q1]]/Table5[[#This Row],[HCPCS code dosage 2017Q1]], "")</f>
        <v>3.1391999999999998</v>
      </c>
      <c r="Q50" s="275" t="s">
        <v>1206</v>
      </c>
      <c r="R50" s="275">
        <v>10</v>
      </c>
      <c r="S50" s="275" t="s">
        <v>1470</v>
      </c>
      <c r="T50" s="279">
        <f>IFERROR(VLOOKUP(Table5[[#This Row],[HCPCS code 2017 Q3]], ASP2017Q3[], 4, FALSE), "")</f>
        <v>41.16</v>
      </c>
      <c r="U50" s="279">
        <f>IFERROR(Table5[[#This Row],[Payment Limit 2017Q3]]/Table5[[#This Row],[HCPCS code dosage 2017Q3]], "")</f>
        <v>4.1159999999999997</v>
      </c>
      <c r="V50" s="374" t="s">
        <v>1206</v>
      </c>
      <c r="W50" s="377">
        <v>10</v>
      </c>
      <c r="X50" s="142" t="s">
        <v>1470</v>
      </c>
      <c r="Y50" s="279">
        <v>43.567999999999998</v>
      </c>
      <c r="Z50" s="370">
        <f>IFERROR(Table5[[#This Row],[Payment Limit 2018 Q1]]/Table5[[#This Row],[HCPCS code dosage 2018 Q1]],"")</f>
        <v>4.3567999999999998</v>
      </c>
      <c r="AA50" s="374" t="s">
        <v>1206</v>
      </c>
      <c r="AB50" s="381">
        <v>10</v>
      </c>
      <c r="AC50" s="142" t="s">
        <v>1470</v>
      </c>
      <c r="AD50" s="378">
        <v>42.302</v>
      </c>
      <c r="AE50" s="370">
        <f>IFERROR(Table5[[#This Row],[Payment Limit 2018 Q3]]/Table5[[#This Row],[HCPCS code dosage 2018 Q3]],"")</f>
        <v>4.2302</v>
      </c>
      <c r="AF50" s="275" t="s">
        <v>1206</v>
      </c>
      <c r="AG50" s="122"/>
      <c r="AH50" s="117" t="s">
        <v>1206</v>
      </c>
      <c r="AI50" s="118" t="s">
        <v>1664</v>
      </c>
      <c r="AJ50" s="118" t="s">
        <v>1470</v>
      </c>
      <c r="AK50" s="115">
        <f>IFERROR(VLOOKUP(Table5[[#This Row],[HCPCS code 2019Q3]], ASP2019Q3[], 4, FALSE), "")</f>
        <v>47.14</v>
      </c>
      <c r="AL50" s="72">
        <f>IFERROR(Table5[[#This Row],[Payment Limit 2019Q3]]/Table5[[#This Row],[HCPCS code dosage 2019Q3]], "")</f>
        <v>4.7140000000000004</v>
      </c>
      <c r="AM50" s="130" t="s">
        <v>1206</v>
      </c>
      <c r="AN50" s="130" t="s">
        <v>1664</v>
      </c>
      <c r="AO50" s="130" t="s">
        <v>1470</v>
      </c>
      <c r="AP50" s="126">
        <f>IFERROR(VLOOKUP(Table5[[#This Row],[HCPCS code 2020Q1]], ASP2020Q1[], 4, FALSE), "")</f>
        <v>48.395000000000003</v>
      </c>
      <c r="AQ50" s="77">
        <f>IFERROR(Table5[[#This Row],[Payment Limit 2020Q1]]/Table5[[#This Row],[HCPCS code dosage 2020Q1]], "")</f>
        <v>4.8395000000000001</v>
      </c>
      <c r="AR50" s="133" t="s">
        <v>1206</v>
      </c>
      <c r="AS50" s="130" t="s">
        <v>1664</v>
      </c>
      <c r="AT50" s="130" t="s">
        <v>1470</v>
      </c>
      <c r="AU50" s="132">
        <f>IFERROR(VLOOKUP(Table5[[#This Row],[HCPCS code 2020Q3]], ASP2020Q3[], 4, FALSE), "")</f>
        <v>46.106999999999999</v>
      </c>
      <c r="AV50" s="72">
        <f>IFERROR(Table5[[#This Row],[Payment limit 2020Q3]]/Table5[[#This Row],[HCPCS code dosage 2020Q3]],"")</f>
        <v>4.6106999999999996</v>
      </c>
      <c r="AW50" s="144" t="s">
        <v>1206</v>
      </c>
      <c r="AX50" s="118" t="s">
        <v>1664</v>
      </c>
      <c r="AY50" s="144" t="s">
        <v>1470</v>
      </c>
      <c r="AZ50" s="144">
        <f>IFERROR(VLOOKUP(Table5[[#This Row],[HCPCS code 2021Q1]], ASP2021Q1[], 4, FALSE), "")</f>
        <v>42.52</v>
      </c>
      <c r="BA50" s="122">
        <f>IFERROR(Table5[[#This Row],[Payment limit 2021Q1]]/Table5[[#This Row],[HCPCS code dosage 2021Q1]], "")</f>
        <v>4.2520000000000007</v>
      </c>
      <c r="BB50" s="147" t="s">
        <v>1206</v>
      </c>
      <c r="BC50" s="118" t="s">
        <v>1664</v>
      </c>
      <c r="BD50" s="144" t="s">
        <v>1470</v>
      </c>
      <c r="BE50" s="144">
        <f>IFERROR(VLOOKUP(Table5[[#This Row],[HCPCS code 2021Q3]], ASP2021Q3[], 4, FALSE), "")</f>
        <v>45.241999999999997</v>
      </c>
      <c r="BF50" s="122">
        <f>IFERROR(Table5[[#This Row],[Payment limit 2021Q3]]/Table5[[#This Row],[HCPCS code dosage 2021Q3]], "")</f>
        <v>4.5241999999999996</v>
      </c>
      <c r="BG50" s="147" t="s">
        <v>1206</v>
      </c>
      <c r="BH50" s="118" t="s">
        <v>1664</v>
      </c>
      <c r="BI50" s="144" t="s">
        <v>1470</v>
      </c>
      <c r="BJ50" s="144">
        <f>IFERROR(VLOOKUP(Table5[[#This Row],[HCPCS code 2022Q1]], ASP2022Q1[], 4, FALSE), "")</f>
        <v>41.235999999999997</v>
      </c>
      <c r="BK50" s="122">
        <f>IFERROR(Table5[[#This Row],[Payment limit 2022Q1]]/Table5[[#This Row],[HCPCS code dosage 2022Q1]], "")</f>
        <v>4.1235999999999997</v>
      </c>
      <c r="BL50" s="144" t="s">
        <v>1206</v>
      </c>
      <c r="BM50" s="184">
        <v>10</v>
      </c>
      <c r="BN50" s="144" t="s">
        <v>1470</v>
      </c>
      <c r="BO50" s="144">
        <f>IFERROR(VLOOKUP(Table5[[#This Row],[HCPCS Code 2022Q3]], ASP2022Q3[], 4, FALSE), "")</f>
        <v>44.045000000000002</v>
      </c>
      <c r="BP50" s="122">
        <f>IFERROR(Table5[[#This Row],[Payment limit 2022Q3]]/Table5[[#This Row],[HCPCS code dosage 2022Q3]], "")</f>
        <v>4.4045000000000005</v>
      </c>
      <c r="BQ50" s="144" t="s">
        <v>1206</v>
      </c>
      <c r="BR50" s="118">
        <v>10</v>
      </c>
      <c r="BS50" s="144" t="s">
        <v>1470</v>
      </c>
      <c r="BT50" s="144">
        <v>41.643999999999998</v>
      </c>
      <c r="BU50" s="144">
        <f>IFERROR(Table5[[#This Row],[Payment limit 2023Q1]]/Table5[[#This Row],[HCPCS code dosage 2023Q1]], "")</f>
        <v>4.1643999999999997</v>
      </c>
      <c r="BV50" s="79"/>
    </row>
    <row r="51" spans="1:74" x14ac:dyDescent="0.3">
      <c r="A51" s="69" t="s">
        <v>2763</v>
      </c>
      <c r="B51" s="273"/>
      <c r="C51" s="273"/>
      <c r="D51" s="275"/>
      <c r="E51" s="280" t="str">
        <f>IFERROR(VLOOKUP(Table5[[#This Row],[HCPCS code 2016 Q1]], ASP2016Q1[], 4, FALSE), "")</f>
        <v/>
      </c>
      <c r="F51" s="305" t="str">
        <f>IFERROR(Table5[[#This Row],[Payment Limit 2016Q1]]/Table5[[#This Row],[HCPCS code dosage 2016Q1]], "")</f>
        <v/>
      </c>
      <c r="G51" s="273"/>
      <c r="H51" s="273"/>
      <c r="I51" s="275"/>
      <c r="J51" s="280" t="str">
        <f>IFERROR(VLOOKUP(Table5[[#This Row],[HCPCS code 2016 Q3]], ASP2016Q3[], 4, FALSE), "")</f>
        <v/>
      </c>
      <c r="K51" s="305" t="str">
        <f>IFERROR(Table5[[#This Row],[Payment Limit 2016Q3]]/Table5[[#This Row],[HCPCS code dosage 2016Q3]], "")</f>
        <v/>
      </c>
      <c r="L51" s="273"/>
      <c r="M51" s="273"/>
      <c r="N51" s="275"/>
      <c r="O51" s="280" t="str">
        <f>IFERROR(VLOOKUP(Table5[[#This Row],[HCPCS code 2017 Q1]], ASP2017Q1[], 4, FALSE), "")</f>
        <v/>
      </c>
      <c r="P51" s="305" t="str">
        <f>IFERROR(Table5[[#This Row],[Payment Limit 2017Q1]]/Table5[[#This Row],[HCPCS code dosage 2017Q1]], "")</f>
        <v/>
      </c>
      <c r="Q51" s="416"/>
      <c r="R51" s="416"/>
      <c r="S51" s="416"/>
      <c r="T51" s="280" t="str">
        <f>IFERROR(VLOOKUP(Table5[[#This Row],[HCPCS code 2017 Q3]], ASP2017Q3[], 4, FALSE), "")</f>
        <v/>
      </c>
      <c r="U51" s="280" t="str">
        <f>IFERROR(Table5[[#This Row],[Payment Limit 2017Q3]]/Table5[[#This Row],[HCPCS code dosage 2017Q3]], "")</f>
        <v/>
      </c>
      <c r="V51" s="374"/>
      <c r="W51" s="510"/>
      <c r="X51" s="416"/>
      <c r="Y51" s="280"/>
      <c r="Z51" s="305" t="str">
        <f>IFERROR(Table5[[#This Row],[Payment Limit 2018 Q1]]/Table5[[#This Row],[HCPCS code dosage 2018 Q1]],"")</f>
        <v/>
      </c>
      <c r="AA51" s="374"/>
      <c r="AB51" s="381"/>
      <c r="AC51" s="142"/>
      <c r="AD51" s="378"/>
      <c r="AE51" s="305" t="str">
        <f>IFERROR(Table5[[#This Row],[Payment Limit 2018 Q3]]/Table5[[#This Row],[HCPCS code dosage 2018 Q3]],"")</f>
        <v/>
      </c>
      <c r="AF51" s="416"/>
      <c r="AG51" s="122"/>
      <c r="AH51" s="117"/>
      <c r="AI51" s="118"/>
      <c r="AJ51" s="118"/>
      <c r="AK51" s="132" t="str">
        <f>IFERROR(VLOOKUP(Table5[[#This Row],[HCPCS code 2019Q3]], ASP2019Q3[], 4, FALSE), "")</f>
        <v/>
      </c>
      <c r="AL51" s="72" t="str">
        <f>IFERROR(Table5[[#This Row],[Payment Limit 2019Q3]]/Table5[[#This Row],[HCPCS code dosage 2019Q3]], "")</f>
        <v/>
      </c>
      <c r="AM51" s="130"/>
      <c r="AN51" s="130"/>
      <c r="AO51" s="130"/>
      <c r="AP51" s="126" t="str">
        <f>IFERROR(VLOOKUP(Table5[[#This Row],[HCPCS code 2020Q1]], ASP2020Q1[], 4, FALSE), "")</f>
        <v/>
      </c>
      <c r="AQ51" s="77" t="str">
        <f>IFERROR(Table5[[#This Row],[Payment Limit 2020Q1]]/Table5[[#This Row],[HCPCS code dosage 2020Q1]], "")</f>
        <v/>
      </c>
      <c r="AR51" s="133"/>
      <c r="AS51" s="130"/>
      <c r="AT51" s="130"/>
      <c r="AU51" s="132" t="str">
        <f>IFERROR(VLOOKUP(Table5[[#This Row],[HCPCS code 2020Q3]], ASP2020Q3[], 4, FALSE), "")</f>
        <v/>
      </c>
      <c r="AV51" s="72" t="str">
        <f>IFERROR(Table5[[#This Row],[Payment limit 2020Q3]]/Table5[[#This Row],[HCPCS code dosage 2020Q3]],"")</f>
        <v/>
      </c>
      <c r="AW51" s="144" t="s">
        <v>479</v>
      </c>
      <c r="AX51" s="118">
        <v>1</v>
      </c>
      <c r="AY51" s="144" t="s">
        <v>1470</v>
      </c>
      <c r="AZ51" s="144">
        <f>IFERROR(VLOOKUP(Table5[[#This Row],[HCPCS code 2021Q1]], ASP2021Q1[], 4, FALSE), "")</f>
        <v>3.4260000000000002</v>
      </c>
      <c r="BA51" s="122">
        <f>IFERROR(Table5[[#This Row],[Payment limit 2021Q1]]/Table5[[#This Row],[HCPCS code dosage 2021Q1]], "")</f>
        <v>3.4260000000000002</v>
      </c>
      <c r="BB51" s="147" t="s">
        <v>479</v>
      </c>
      <c r="BC51" s="118">
        <v>1</v>
      </c>
      <c r="BD51" s="144" t="s">
        <v>1470</v>
      </c>
      <c r="BE51" s="144">
        <f>IFERROR(VLOOKUP(Table5[[#This Row],[HCPCS code 2021Q3]], ASP2021Q3[], 4, FALSE), "")</f>
        <v>4.1660000000000004</v>
      </c>
      <c r="BF51" s="122">
        <f>IFERROR(Table5[[#This Row],[Payment limit 2021Q3]]/Table5[[#This Row],[HCPCS code dosage 2021Q3]], "")</f>
        <v>4.1660000000000004</v>
      </c>
      <c r="BG51" s="147" t="s">
        <v>479</v>
      </c>
      <c r="BH51" s="118">
        <v>1</v>
      </c>
      <c r="BI51" s="144" t="s">
        <v>1470</v>
      </c>
      <c r="BJ51" s="144">
        <f>IFERROR(VLOOKUP(Table5[[#This Row],[HCPCS code 2022Q1]], ASP2022Q1[], 4, FALSE), "")</f>
        <v>2.883</v>
      </c>
      <c r="BK51" s="122">
        <f>IFERROR(Table5[[#This Row],[Payment limit 2022Q1]]/Table5[[#This Row],[HCPCS code dosage 2022Q1]], "")</f>
        <v>2.883</v>
      </c>
      <c r="BL51" s="144"/>
      <c r="BM51" s="184"/>
      <c r="BN51" s="144"/>
      <c r="BO51" s="144" t="str">
        <f>IFERROR(VLOOKUP(Table5[[#This Row],[HCPCS Code 2022Q3]], ASP2022Q3[], 4, FALSE), "")</f>
        <v/>
      </c>
      <c r="BP51" s="122" t="str">
        <f>IFERROR(Table5[[#This Row],[Payment limit 2022Q3]]/Table5[[#This Row],[HCPCS code dosage 2022Q3]], "")</f>
        <v/>
      </c>
      <c r="BQ51" s="144"/>
      <c r="BR51" s="521"/>
      <c r="BS51" s="144"/>
      <c r="BT51" s="144"/>
      <c r="BU51" s="144" t="str">
        <f>IFERROR(Table5[[#This Row],[Payment limit 2023Q1]]/Table5[[#This Row],[HCPCS code dosage 2023Q1]], "")</f>
        <v/>
      </c>
      <c r="BV51" s="79"/>
    </row>
    <row r="52" spans="1:74" x14ac:dyDescent="0.3">
      <c r="A52" s="62" t="s">
        <v>63</v>
      </c>
      <c r="B52" s="286" t="s">
        <v>1211</v>
      </c>
      <c r="C52" s="286">
        <v>1</v>
      </c>
      <c r="D52" s="307" t="s">
        <v>1470</v>
      </c>
      <c r="E52" s="292">
        <f>IFERROR(VLOOKUP(Table5[[#This Row],[HCPCS code 2016 Q1]], ASP2016Q1[], 4, FALSE), "")</f>
        <v>3.6480000000000001</v>
      </c>
      <c r="F52" s="303">
        <f>IFERROR(Table5[[#This Row],[Payment Limit 2016Q1]]/Table5[[#This Row],[HCPCS code dosage 2016Q1]], "")</f>
        <v>3.6480000000000001</v>
      </c>
      <c r="G52" s="286" t="s">
        <v>1211</v>
      </c>
      <c r="H52" s="286">
        <v>1</v>
      </c>
      <c r="I52" s="307" t="s">
        <v>1470</v>
      </c>
      <c r="J52" s="292">
        <f>IFERROR(VLOOKUP(Table5[[#This Row],[HCPCS code 2016 Q3]], ASP2016Q3[], 4, FALSE), "")</f>
        <v>3.7229999999999999</v>
      </c>
      <c r="K52" s="303">
        <f>IFERROR(Table5[[#This Row],[Payment Limit 2016Q3]]/Table5[[#This Row],[HCPCS code dosage 2016Q3]], "")</f>
        <v>3.7229999999999999</v>
      </c>
      <c r="L52" s="286" t="s">
        <v>1211</v>
      </c>
      <c r="M52" s="286">
        <v>1</v>
      </c>
      <c r="N52" s="307" t="s">
        <v>1470</v>
      </c>
      <c r="O52" s="291">
        <f>IFERROR(VLOOKUP(Table5[[#This Row],[HCPCS code 2017 Q1]], ASP2017Q1[], 4, FALSE), "")</f>
        <v>3.681</v>
      </c>
      <c r="P52" s="302">
        <f>IFERROR(Table5[[#This Row],[Payment Limit 2017Q1]]/Table5[[#This Row],[HCPCS code dosage 2017Q1]], "")</f>
        <v>3.681</v>
      </c>
      <c r="Q52" s="275" t="s">
        <v>1211</v>
      </c>
      <c r="R52" s="275">
        <v>1</v>
      </c>
      <c r="S52" s="275" t="s">
        <v>1470</v>
      </c>
      <c r="T52" s="279">
        <f>IFERROR(VLOOKUP(Table5[[#This Row],[HCPCS code 2017 Q3]], ASP2017Q3[], 4, FALSE), "")</f>
        <v>3.6469999999999998</v>
      </c>
      <c r="U52" s="279">
        <f>IFERROR(Table5[[#This Row],[Payment Limit 2017Q3]]/Table5[[#This Row],[HCPCS code dosage 2017Q3]], "")</f>
        <v>3.6469999999999998</v>
      </c>
      <c r="V52" s="374" t="s">
        <v>1211</v>
      </c>
      <c r="W52" s="377">
        <v>1</v>
      </c>
      <c r="X52" s="142" t="s">
        <v>1470</v>
      </c>
      <c r="Y52" s="279">
        <v>3.6349999999999998</v>
      </c>
      <c r="Z52" s="370">
        <f>IFERROR(Table5[[#This Row],[Payment Limit 2018 Q1]]/Table5[[#This Row],[HCPCS code dosage 2018 Q1]],"")</f>
        <v>3.6349999999999998</v>
      </c>
      <c r="AA52" s="374" t="s">
        <v>1211</v>
      </c>
      <c r="AB52" s="381">
        <v>1</v>
      </c>
      <c r="AC52" s="142" t="s">
        <v>1470</v>
      </c>
      <c r="AD52" s="378">
        <v>3.6549999999999998</v>
      </c>
      <c r="AE52" s="370">
        <f>IFERROR(Table5[[#This Row],[Payment Limit 2018 Q3]]/Table5[[#This Row],[HCPCS code dosage 2018 Q3]],"")</f>
        <v>3.6549999999999998</v>
      </c>
      <c r="AF52" s="275" t="s">
        <v>1211</v>
      </c>
      <c r="AG52" s="122">
        <v>3.8039999999999998</v>
      </c>
      <c r="AH52" s="117" t="s">
        <v>1211</v>
      </c>
      <c r="AI52" s="118" t="s">
        <v>1665</v>
      </c>
      <c r="AJ52" s="118" t="s">
        <v>1470</v>
      </c>
      <c r="AK52" s="115">
        <f>IFERROR(VLOOKUP(Table5[[#This Row],[HCPCS code 2019Q3]], ASP2019Q3[], 4, FALSE), "")</f>
        <v>3.903</v>
      </c>
      <c r="AL52" s="72">
        <f>IFERROR(Table5[[#This Row],[Payment Limit 2019Q3]]/Table5[[#This Row],[HCPCS code dosage 2019Q3]], "")</f>
        <v>3.903</v>
      </c>
      <c r="AM52" s="130" t="s">
        <v>1211</v>
      </c>
      <c r="AN52" s="130" t="s">
        <v>1665</v>
      </c>
      <c r="AO52" s="130" t="s">
        <v>1470</v>
      </c>
      <c r="AP52" s="126">
        <f>IFERROR(VLOOKUP(Table5[[#This Row],[HCPCS code 2020Q1]], ASP2020Q1[], 4, FALSE), "")</f>
        <v>3.956</v>
      </c>
      <c r="AQ52" s="77">
        <f>IFERROR(Table5[[#This Row],[Payment Limit 2020Q1]]/Table5[[#This Row],[HCPCS code dosage 2020Q1]], "")</f>
        <v>3.956</v>
      </c>
      <c r="AR52" s="133" t="s">
        <v>1211</v>
      </c>
      <c r="AS52" s="130" t="s">
        <v>1665</v>
      </c>
      <c r="AT52" s="130" t="s">
        <v>1470</v>
      </c>
      <c r="AU52" s="132">
        <f>IFERROR(VLOOKUP(Table5[[#This Row],[HCPCS code 2020Q3]], ASP2020Q3[], 4, FALSE), "")</f>
        <v>3.9710000000000001</v>
      </c>
      <c r="AV52" s="72">
        <f>IFERROR(Table5[[#This Row],[Payment limit 2020Q3]]/Table5[[#This Row],[HCPCS code dosage 2020Q3]],"")</f>
        <v>3.9710000000000001</v>
      </c>
      <c r="AW52" s="144" t="s">
        <v>1211</v>
      </c>
      <c r="AX52" s="118" t="s">
        <v>1665</v>
      </c>
      <c r="AY52" s="144" t="s">
        <v>1470</v>
      </c>
      <c r="AZ52" s="144">
        <f>IFERROR(VLOOKUP(Table5[[#This Row],[HCPCS code 2021Q1]], ASP2021Q1[], 4, FALSE), "")</f>
        <v>3.89</v>
      </c>
      <c r="BA52" s="122">
        <f>IFERROR(Table5[[#This Row],[Payment limit 2021Q1]]/Table5[[#This Row],[HCPCS code dosage 2021Q1]], "")</f>
        <v>3.89</v>
      </c>
      <c r="BB52" s="147" t="s">
        <v>1211</v>
      </c>
      <c r="BC52" s="118" t="s">
        <v>1665</v>
      </c>
      <c r="BD52" s="144" t="s">
        <v>1470</v>
      </c>
      <c r="BE52" s="144">
        <f>IFERROR(VLOOKUP(Table5[[#This Row],[HCPCS code 2021Q3]], ASP2021Q3[], 4, FALSE), "")</f>
        <v>3.9830000000000001</v>
      </c>
      <c r="BF52" s="122">
        <f>IFERROR(Table5[[#This Row],[Payment limit 2021Q3]]/Table5[[#This Row],[HCPCS code dosage 2021Q3]], "")</f>
        <v>3.9830000000000001</v>
      </c>
      <c r="BG52" s="147" t="s">
        <v>1211</v>
      </c>
      <c r="BH52" s="118" t="s">
        <v>1665</v>
      </c>
      <c r="BI52" s="144" t="s">
        <v>1470</v>
      </c>
      <c r="BJ52" s="144">
        <f>IFERROR(VLOOKUP(Table5[[#This Row],[HCPCS code 2022Q1]], ASP2022Q1[], 4, FALSE), "")</f>
        <v>4.0609999999999999</v>
      </c>
      <c r="BK52" s="122">
        <f>IFERROR(Table5[[#This Row],[Payment limit 2022Q1]]/Table5[[#This Row],[HCPCS code dosage 2022Q1]], "")</f>
        <v>4.0609999999999999</v>
      </c>
      <c r="BL52" s="144" t="s">
        <v>1211</v>
      </c>
      <c r="BM52" s="184">
        <v>1</v>
      </c>
      <c r="BN52" s="144" t="s">
        <v>1470</v>
      </c>
      <c r="BO52" s="144">
        <f>IFERROR(VLOOKUP(Table5[[#This Row],[HCPCS Code 2022Q3]], ASP2022Q3[], 4, FALSE), "")</f>
        <v>4.032</v>
      </c>
      <c r="BP52" s="122">
        <f>IFERROR(Table5[[#This Row],[Payment limit 2022Q3]]/Table5[[#This Row],[HCPCS code dosage 2022Q3]], "")</f>
        <v>4.032</v>
      </c>
      <c r="BQ52" s="144" t="s">
        <v>1211</v>
      </c>
      <c r="BR52" s="118">
        <v>1</v>
      </c>
      <c r="BS52" s="144" t="s">
        <v>1470</v>
      </c>
      <c r="BT52" s="144">
        <v>4.1239999999999997</v>
      </c>
      <c r="BU52" s="144">
        <f>IFERROR(Table5[[#This Row],[Payment limit 2023Q1]]/Table5[[#This Row],[HCPCS code dosage 2023Q1]], "")</f>
        <v>4.1239999999999997</v>
      </c>
      <c r="BV52" s="79"/>
    </row>
    <row r="53" spans="1:74" x14ac:dyDescent="0.3">
      <c r="A53" s="69" t="s">
        <v>2616</v>
      </c>
      <c r="B53" s="500" t="s">
        <v>483</v>
      </c>
      <c r="C53" s="273">
        <v>1</v>
      </c>
      <c r="D53" s="275" t="s">
        <v>1470</v>
      </c>
      <c r="E53" s="280">
        <f>IFERROR(VLOOKUP(Table5[[#This Row],[HCPCS code 2016 Q1]], ASP2016Q1[], 4, FALSE), "")</f>
        <v>15.489000000000001</v>
      </c>
      <c r="F53" s="305">
        <f>IFERROR(Table5[[#This Row],[Payment Limit 2016Q1]]/Table5[[#This Row],[HCPCS code dosage 2016Q1]], "")</f>
        <v>15.489000000000001</v>
      </c>
      <c r="G53" s="273" t="s">
        <v>483</v>
      </c>
      <c r="H53" s="273">
        <v>1</v>
      </c>
      <c r="I53" s="275" t="s">
        <v>1470</v>
      </c>
      <c r="J53" s="280">
        <f>IFERROR(VLOOKUP(Table5[[#This Row],[HCPCS code 2016 Q3]], ASP2016Q3[], 4, FALSE), "")</f>
        <v>16.113</v>
      </c>
      <c r="K53" s="305">
        <f>IFERROR(Table5[[#This Row],[Payment Limit 2016Q3]]/Table5[[#This Row],[HCPCS code dosage 2016Q3]], "")</f>
        <v>16.113</v>
      </c>
      <c r="L53" s="273" t="s">
        <v>483</v>
      </c>
      <c r="M53" s="273">
        <v>1</v>
      </c>
      <c r="N53" s="275" t="s">
        <v>1470</v>
      </c>
      <c r="O53" s="280">
        <f>IFERROR(VLOOKUP(Table5[[#This Row],[HCPCS code 2017 Q1]], ASP2017Q1[], 4, FALSE), "")</f>
        <v>16.516999999999999</v>
      </c>
      <c r="P53" s="305">
        <f>IFERROR(Table5[[#This Row],[Payment Limit 2017Q1]]/Table5[[#This Row],[HCPCS code dosage 2017Q1]], "")</f>
        <v>16.516999999999999</v>
      </c>
      <c r="Q53" s="142" t="s">
        <v>483</v>
      </c>
      <c r="R53" s="416">
        <v>1</v>
      </c>
      <c r="S53" s="416" t="s">
        <v>1470</v>
      </c>
      <c r="T53" s="280">
        <f>IFERROR(VLOOKUP(Table5[[#This Row],[HCPCS code 2017 Q3]], ASP2017Q3[], 4, FALSE), "")</f>
        <v>17.035</v>
      </c>
      <c r="U53" s="280">
        <f>IFERROR(Table5[[#This Row],[Payment Limit 2017Q3]]/Table5[[#This Row],[HCPCS code dosage 2017Q3]], "")</f>
        <v>17.035</v>
      </c>
      <c r="V53" s="374" t="s">
        <v>483</v>
      </c>
      <c r="W53" s="377">
        <v>1</v>
      </c>
      <c r="X53" s="142" t="s">
        <v>1470</v>
      </c>
      <c r="Y53" s="280">
        <v>17.748999999999999</v>
      </c>
      <c r="Z53" s="305">
        <f>IFERROR(Table5[[#This Row],[Payment Limit 2018 Q1]]/Table5[[#This Row],[HCPCS code dosage 2018 Q1]],"")</f>
        <v>17.748999999999999</v>
      </c>
      <c r="AA53" s="374" t="s">
        <v>483</v>
      </c>
      <c r="AB53" s="381">
        <v>1</v>
      </c>
      <c r="AC53" s="142" t="s">
        <v>1470</v>
      </c>
      <c r="AD53" s="378">
        <v>18.378</v>
      </c>
      <c r="AE53" s="305">
        <f>IFERROR(Table5[[#This Row],[Payment Limit 2018 Q3]]/Table5[[#This Row],[HCPCS code dosage 2018 Q3]],"")</f>
        <v>18.378</v>
      </c>
      <c r="AF53" s="416"/>
      <c r="AG53" s="122"/>
      <c r="AH53" s="117"/>
      <c r="AI53" s="118"/>
      <c r="AJ53" s="118"/>
      <c r="AK53" s="132" t="str">
        <f>IFERROR(VLOOKUP(Table5[[#This Row],[HCPCS code 2019Q3]], ASP2019Q3[], 4, FALSE), "")</f>
        <v/>
      </c>
      <c r="AL53" s="72" t="str">
        <f>IFERROR(Table5[[#This Row],[Payment Limit 2019Q3]]/Table5[[#This Row],[HCPCS code dosage 2019Q3]], "")</f>
        <v/>
      </c>
      <c r="AM53" s="130"/>
      <c r="AN53" s="130"/>
      <c r="AO53" s="130"/>
      <c r="AP53" s="126" t="str">
        <f>IFERROR(VLOOKUP(Table5[[#This Row],[HCPCS code 2020Q1]], ASP2020Q1[], 4, FALSE), "")</f>
        <v/>
      </c>
      <c r="AQ53" s="77" t="str">
        <f>IFERROR(Table5[[#This Row],[Payment Limit 2020Q1]]/Table5[[#This Row],[HCPCS code dosage 2020Q1]], "")</f>
        <v/>
      </c>
      <c r="AR53" s="133"/>
      <c r="AS53" s="130"/>
      <c r="AT53" s="130"/>
      <c r="AU53" s="132" t="str">
        <f>IFERROR(VLOOKUP(Table5[[#This Row],[HCPCS code 2020Q3]], ASP2020Q3[], 4, FALSE), "")</f>
        <v/>
      </c>
      <c r="AV53" s="72" t="str">
        <f>IFERROR(Table5[[#This Row],[Payment limit 2020Q3]]/Table5[[#This Row],[HCPCS code dosage 2020Q3]],"")</f>
        <v/>
      </c>
      <c r="AW53" s="144"/>
      <c r="AX53" s="118"/>
      <c r="AY53" s="144"/>
      <c r="AZ53" s="144" t="str">
        <f>IFERROR(VLOOKUP(Table5[[#This Row],[HCPCS code 2021Q1]], ASP2021Q1[], 4, FALSE), "")</f>
        <v/>
      </c>
      <c r="BA53" s="122" t="str">
        <f>IFERROR(Table5[[#This Row],[Payment limit 2021Q1]]/Table5[[#This Row],[HCPCS code dosage 2021Q1]], "")</f>
        <v/>
      </c>
      <c r="BB53" s="147"/>
      <c r="BC53" s="118"/>
      <c r="BD53" s="144"/>
      <c r="BE53" s="144" t="str">
        <f>IFERROR(VLOOKUP(Table5[[#This Row],[HCPCS code 2021Q3]], ASP2021Q3[], 4, FALSE), "")</f>
        <v/>
      </c>
      <c r="BF53" s="122" t="str">
        <f>IFERROR(Table5[[#This Row],[Payment limit 2021Q3]]/Table5[[#This Row],[HCPCS code dosage 2021Q3]], "")</f>
        <v/>
      </c>
      <c r="BG53" s="147"/>
      <c r="BH53" s="118"/>
      <c r="BI53" s="144"/>
      <c r="BJ53" s="144" t="str">
        <f>IFERROR(VLOOKUP(Table5[[#This Row],[HCPCS code 2022Q1]], ASP2022Q1[], 4, FALSE), "")</f>
        <v/>
      </c>
      <c r="BK53" s="122" t="str">
        <f>IFERROR(Table5[[#This Row],[Payment limit 2022Q1]]/Table5[[#This Row],[HCPCS code dosage 2022Q1]], "")</f>
        <v/>
      </c>
      <c r="BL53" s="144"/>
      <c r="BM53" s="184"/>
      <c r="BN53" s="144"/>
      <c r="BO53" s="144" t="str">
        <f>IFERROR(VLOOKUP(Table5[[#This Row],[HCPCS Code 2022Q3]], ASP2022Q3[], 4, FALSE), "")</f>
        <v/>
      </c>
      <c r="BP53" s="122" t="str">
        <f>IFERROR(Table5[[#This Row],[Payment limit 2022Q3]]/Table5[[#This Row],[HCPCS code dosage 2022Q3]], "")</f>
        <v/>
      </c>
      <c r="BQ53" s="144"/>
      <c r="BR53" s="521"/>
      <c r="BS53" s="144"/>
      <c r="BT53" s="144"/>
      <c r="BU53" s="144" t="str">
        <f>IFERROR(Table5[[#This Row],[Payment limit 2023Q1]]/Table5[[#This Row],[HCPCS code dosage 2023Q1]], "")</f>
        <v/>
      </c>
      <c r="BV53" s="79"/>
    </row>
    <row r="54" spans="1:74" x14ac:dyDescent="0.3">
      <c r="A54" s="62" t="s">
        <v>181</v>
      </c>
      <c r="B54" s="286" t="s">
        <v>499</v>
      </c>
      <c r="C54" s="286">
        <v>1</v>
      </c>
      <c r="D54" s="307" t="s">
        <v>1470</v>
      </c>
      <c r="E54" s="292">
        <f>IFERROR(VLOOKUP(Table5[[#This Row],[HCPCS code 2016 Q1]], ASP2016Q1[], 4, FALSE), "")</f>
        <v>0.13800000000000001</v>
      </c>
      <c r="F54" s="303">
        <f>IFERROR(Table5[[#This Row],[Payment Limit 2016Q1]]/Table5[[#This Row],[HCPCS code dosage 2016Q1]], "")</f>
        <v>0.13800000000000001</v>
      </c>
      <c r="G54" s="286" t="s">
        <v>499</v>
      </c>
      <c r="H54" s="286">
        <v>1</v>
      </c>
      <c r="I54" s="307" t="s">
        <v>1470</v>
      </c>
      <c r="J54" s="292">
        <f>IFERROR(VLOOKUP(Table5[[#This Row],[HCPCS code 2016 Q3]], ASP2016Q3[], 4, FALSE), "")</f>
        <v>0.123</v>
      </c>
      <c r="K54" s="303">
        <f>IFERROR(Table5[[#This Row],[Payment Limit 2016Q3]]/Table5[[#This Row],[HCPCS code dosage 2016Q3]], "")</f>
        <v>0.123</v>
      </c>
      <c r="L54" s="286" t="s">
        <v>499</v>
      </c>
      <c r="M54" s="286">
        <v>1</v>
      </c>
      <c r="N54" s="307" t="s">
        <v>1470</v>
      </c>
      <c r="O54" s="291">
        <f>IFERROR(VLOOKUP(Table5[[#This Row],[HCPCS code 2017 Q1]], ASP2017Q1[], 4, FALSE), "")</f>
        <v>0.11700000000000001</v>
      </c>
      <c r="P54" s="302">
        <f>IFERROR(Table5[[#This Row],[Payment Limit 2017Q1]]/Table5[[#This Row],[HCPCS code dosage 2017Q1]], "")</f>
        <v>0.11700000000000001</v>
      </c>
      <c r="Q54" s="275" t="s">
        <v>499</v>
      </c>
      <c r="R54" s="275">
        <v>1</v>
      </c>
      <c r="S54" s="275" t="s">
        <v>1470</v>
      </c>
      <c r="T54" s="279">
        <f>IFERROR(VLOOKUP(Table5[[#This Row],[HCPCS code 2017 Q3]], ASP2017Q3[], 4, FALSE), "")</f>
        <v>0.12</v>
      </c>
      <c r="U54" s="279">
        <f>IFERROR(Table5[[#This Row],[Payment Limit 2017Q3]]/Table5[[#This Row],[HCPCS code dosage 2017Q3]], "")</f>
        <v>0.12</v>
      </c>
      <c r="V54" s="374" t="s">
        <v>499</v>
      </c>
      <c r="W54" s="377">
        <v>1</v>
      </c>
      <c r="X54" s="142" t="s">
        <v>1470</v>
      </c>
      <c r="Y54" s="279">
        <v>0.11700000000000001</v>
      </c>
      <c r="Z54" s="370">
        <f>IFERROR(Table5[[#This Row],[Payment Limit 2018 Q1]]/Table5[[#This Row],[HCPCS code dosage 2018 Q1]],"")</f>
        <v>0.11700000000000001</v>
      </c>
      <c r="AA54" s="374" t="s">
        <v>499</v>
      </c>
      <c r="AB54" s="381">
        <v>1</v>
      </c>
      <c r="AC54" s="142" t="s">
        <v>1470</v>
      </c>
      <c r="AD54" s="378">
        <v>0.121</v>
      </c>
      <c r="AE54" s="370">
        <f>IFERROR(Table5[[#This Row],[Payment Limit 2018 Q3]]/Table5[[#This Row],[HCPCS code dosage 2018 Q3]],"")</f>
        <v>0.121</v>
      </c>
      <c r="AF54" s="275" t="s">
        <v>499</v>
      </c>
      <c r="AG54" s="122">
        <v>0.108</v>
      </c>
      <c r="AH54" s="117" t="s">
        <v>499</v>
      </c>
      <c r="AI54" s="118" t="s">
        <v>1665</v>
      </c>
      <c r="AJ54" s="118" t="s">
        <v>1470</v>
      </c>
      <c r="AK54" s="115">
        <f>IFERROR(VLOOKUP(Table5[[#This Row],[HCPCS code 2019Q3]], ASP2019Q3[], 4, FALSE), "")</f>
        <v>0.124</v>
      </c>
      <c r="AL54" s="72">
        <f>IFERROR(Table5[[#This Row],[Payment Limit 2019Q3]]/Table5[[#This Row],[HCPCS code dosage 2019Q3]], "")</f>
        <v>0.124</v>
      </c>
      <c r="AM54" s="130" t="s">
        <v>499</v>
      </c>
      <c r="AN54" s="130" t="s">
        <v>1665</v>
      </c>
      <c r="AO54" s="130" t="s">
        <v>1470</v>
      </c>
      <c r="AP54" s="126">
        <f>IFERROR(VLOOKUP(Table5[[#This Row],[HCPCS code 2020Q1]], ASP2020Q1[], 4, FALSE), "")</f>
        <v>0.122</v>
      </c>
      <c r="AQ54" s="77">
        <f>IFERROR(Table5[[#This Row],[Payment Limit 2020Q1]]/Table5[[#This Row],[HCPCS code dosage 2020Q1]], "")</f>
        <v>0.122</v>
      </c>
      <c r="AR54" s="133" t="s">
        <v>499</v>
      </c>
      <c r="AS54" s="130" t="s">
        <v>1665</v>
      </c>
      <c r="AT54" s="130" t="s">
        <v>1470</v>
      </c>
      <c r="AU54" s="132">
        <f>IFERROR(VLOOKUP(Table5[[#This Row],[HCPCS code 2020Q3]], ASP2020Q3[], 4, FALSE), "")</f>
        <v>0.115</v>
      </c>
      <c r="AV54" s="72">
        <f>IFERROR(Table5[[#This Row],[Payment limit 2020Q3]]/Table5[[#This Row],[HCPCS code dosage 2020Q3]],"")</f>
        <v>0.115</v>
      </c>
      <c r="AW54" s="144" t="s">
        <v>499</v>
      </c>
      <c r="AX54" s="118" t="s">
        <v>1665</v>
      </c>
      <c r="AY54" s="144" t="s">
        <v>1470</v>
      </c>
      <c r="AZ54" s="144">
        <f>IFERROR(VLOOKUP(Table5[[#This Row],[HCPCS code 2021Q1]], ASP2021Q1[], 4, FALSE), "")</f>
        <v>0.14099999999999999</v>
      </c>
      <c r="BA54" s="122">
        <f>IFERROR(Table5[[#This Row],[Payment limit 2021Q1]]/Table5[[#This Row],[HCPCS code dosage 2021Q1]], "")</f>
        <v>0.14099999999999999</v>
      </c>
      <c r="BB54" s="147" t="s">
        <v>499</v>
      </c>
      <c r="BC54" s="118" t="s">
        <v>1665</v>
      </c>
      <c r="BD54" s="144" t="s">
        <v>1470</v>
      </c>
      <c r="BE54" s="144">
        <f>IFERROR(VLOOKUP(Table5[[#This Row],[HCPCS code 2021Q3]], ASP2021Q3[], 4, FALSE), "")</f>
        <v>0.17</v>
      </c>
      <c r="BF54" s="122">
        <f>IFERROR(Table5[[#This Row],[Payment limit 2021Q3]]/Table5[[#This Row],[HCPCS code dosage 2021Q3]], "")</f>
        <v>0.17</v>
      </c>
      <c r="BG54" s="147" t="s">
        <v>499</v>
      </c>
      <c r="BH54" s="118" t="s">
        <v>1665</v>
      </c>
      <c r="BI54" s="144" t="s">
        <v>1470</v>
      </c>
      <c r="BJ54" s="144">
        <f>IFERROR(VLOOKUP(Table5[[#This Row],[HCPCS code 2022Q1]], ASP2022Q1[], 4, FALSE), "")</f>
        <v>0.11899999999999999</v>
      </c>
      <c r="BK54" s="122">
        <f>IFERROR(Table5[[#This Row],[Payment limit 2022Q1]]/Table5[[#This Row],[HCPCS code dosage 2022Q1]], "")</f>
        <v>0.11899999999999999</v>
      </c>
      <c r="BL54" s="144" t="s">
        <v>499</v>
      </c>
      <c r="BM54" s="184">
        <v>1</v>
      </c>
      <c r="BN54" s="144" t="s">
        <v>1470</v>
      </c>
      <c r="BO54" s="144">
        <f>IFERROR(VLOOKUP(Table5[[#This Row],[HCPCS Code 2022Q3]], ASP2022Q3[], 4, FALSE), "")</f>
        <v>0.13100000000000001</v>
      </c>
      <c r="BP54" s="122">
        <f>IFERROR(Table5[[#This Row],[Payment limit 2022Q3]]/Table5[[#This Row],[HCPCS code dosage 2022Q3]], "")</f>
        <v>0.13100000000000001</v>
      </c>
      <c r="BQ54" s="144" t="s">
        <v>499</v>
      </c>
      <c r="BR54" s="118">
        <v>1</v>
      </c>
      <c r="BS54" s="144" t="s">
        <v>1470</v>
      </c>
      <c r="BT54" s="144">
        <v>0.125</v>
      </c>
      <c r="BU54" s="144">
        <f>IFERROR(Table5[[#This Row],[Payment limit 2023Q1]]/Table5[[#This Row],[HCPCS code dosage 2023Q1]], "")</f>
        <v>0.125</v>
      </c>
      <c r="BV54" s="79"/>
    </row>
    <row r="55" spans="1:74" x14ac:dyDescent="0.3">
      <c r="A55" s="62" t="s">
        <v>52</v>
      </c>
      <c r="B55" s="286" t="s">
        <v>1126</v>
      </c>
      <c r="C55" s="286">
        <v>0.25</v>
      </c>
      <c r="D55" s="307" t="s">
        <v>1470</v>
      </c>
      <c r="E55" s="292">
        <f>IFERROR(VLOOKUP(Table5[[#This Row],[HCPCS code 2016 Q1]], ASP2016Q1[], 4, FALSE), "")</f>
        <v>0.124</v>
      </c>
      <c r="F55" s="303">
        <f>IFERROR(Table5[[#This Row],[Payment Limit 2016Q1]]/Table5[[#This Row],[HCPCS code dosage 2016Q1]], "")</f>
        <v>0.496</v>
      </c>
      <c r="G55" s="286" t="s">
        <v>1126</v>
      </c>
      <c r="H55" s="286">
        <v>0.25</v>
      </c>
      <c r="I55" s="307" t="s">
        <v>1470</v>
      </c>
      <c r="J55" s="292">
        <f>IFERROR(VLOOKUP(Table5[[#This Row],[HCPCS code 2016 Q3]], ASP2016Q3[], 4, FALSE), "")</f>
        <v>1.7000000000000001E-2</v>
      </c>
      <c r="K55" s="303">
        <f>IFERROR(Table5[[#This Row],[Payment Limit 2016Q3]]/Table5[[#This Row],[HCPCS code dosage 2016Q3]], "")</f>
        <v>6.8000000000000005E-2</v>
      </c>
      <c r="L55" s="286" t="s">
        <v>1126</v>
      </c>
      <c r="M55" s="286">
        <v>0.25</v>
      </c>
      <c r="N55" s="307" t="s">
        <v>1470</v>
      </c>
      <c r="O55" s="291">
        <f>IFERROR(VLOOKUP(Table5[[#This Row],[HCPCS code 2017 Q1]], ASP2017Q1[], 4, FALSE), "")</f>
        <v>1.4999999999999999E-2</v>
      </c>
      <c r="P55" s="302">
        <f>IFERROR(Table5[[#This Row],[Payment Limit 2017Q1]]/Table5[[#This Row],[HCPCS code dosage 2017Q1]], "")</f>
        <v>0.06</v>
      </c>
      <c r="Q55" s="275" t="s">
        <v>1126</v>
      </c>
      <c r="R55" s="275">
        <v>0.25</v>
      </c>
      <c r="S55" s="275" t="s">
        <v>1470</v>
      </c>
      <c r="T55" s="279">
        <f>IFERROR(VLOOKUP(Table5[[#This Row],[HCPCS code 2017 Q3]], ASP2017Q3[], 4, FALSE), "")</f>
        <v>8.8999999999999996E-2</v>
      </c>
      <c r="U55" s="279">
        <f>IFERROR(Table5[[#This Row],[Payment Limit 2017Q3]]/Table5[[#This Row],[HCPCS code dosage 2017Q3]], "")</f>
        <v>0.35599999999999998</v>
      </c>
      <c r="V55" s="374" t="s">
        <v>1126</v>
      </c>
      <c r="W55" s="377">
        <v>0.25</v>
      </c>
      <c r="X55" s="142" t="s">
        <v>1470</v>
      </c>
      <c r="Y55" s="279">
        <v>8.1000000000000003E-2</v>
      </c>
      <c r="Z55" s="370">
        <f>IFERROR(Table5[[#This Row],[Payment Limit 2018 Q1]]/Table5[[#This Row],[HCPCS code dosage 2018 Q1]],"")</f>
        <v>0.32400000000000001</v>
      </c>
      <c r="AA55" s="374" t="s">
        <v>1126</v>
      </c>
      <c r="AB55" s="381">
        <v>0.25</v>
      </c>
      <c r="AC55" s="142" t="s">
        <v>1470</v>
      </c>
      <c r="AD55" s="378">
        <v>8.5000000000000006E-2</v>
      </c>
      <c r="AE55" s="370">
        <f>IFERROR(Table5[[#This Row],[Payment Limit 2018 Q3]]/Table5[[#This Row],[HCPCS code dosage 2018 Q3]],"")</f>
        <v>0.34</v>
      </c>
      <c r="AF55" s="275" t="s">
        <v>1126</v>
      </c>
      <c r="AG55" s="122">
        <v>0.248</v>
      </c>
      <c r="AH55" s="117" t="s">
        <v>1126</v>
      </c>
      <c r="AI55" s="118" t="s">
        <v>1672</v>
      </c>
      <c r="AJ55" s="118" t="s">
        <v>1470</v>
      </c>
      <c r="AK55" s="115">
        <f>IFERROR(VLOOKUP(Table5[[#This Row],[HCPCS code 2019Q3]], ASP2019Q3[], 4, FALSE), "")</f>
        <v>5.0000000000000001E-3</v>
      </c>
      <c r="AL55" s="72">
        <f>IFERROR(Table5[[#This Row],[Payment Limit 2019Q3]]/Table5[[#This Row],[HCPCS code dosage 2019Q3]], "")</f>
        <v>0.02</v>
      </c>
      <c r="AM55" s="130" t="s">
        <v>1126</v>
      </c>
      <c r="AN55" s="130" t="s">
        <v>1672</v>
      </c>
      <c r="AO55" s="130" t="s">
        <v>1470</v>
      </c>
      <c r="AP55" s="126">
        <f>IFERROR(VLOOKUP(Table5[[#This Row],[HCPCS code 2020Q1]], ASP2020Q1[], 4, FALSE), "")</f>
        <v>2.4E-2</v>
      </c>
      <c r="AQ55" s="77">
        <f>IFERROR(Table5[[#This Row],[Payment Limit 2020Q1]]/Table5[[#This Row],[HCPCS code dosage 2020Q1]], "")</f>
        <v>9.6000000000000002E-2</v>
      </c>
      <c r="AR55" s="133" t="s">
        <v>1126</v>
      </c>
      <c r="AS55" s="130" t="s">
        <v>1672</v>
      </c>
      <c r="AT55" s="130" t="s">
        <v>1470</v>
      </c>
      <c r="AU55" s="132">
        <f>IFERROR(VLOOKUP(Table5[[#This Row],[HCPCS code 2020Q3]], ASP2020Q3[], 4, FALSE), "")</f>
        <v>0.10299999999999999</v>
      </c>
      <c r="AV55" s="72">
        <f>IFERROR(Table5[[#This Row],[Payment limit 2020Q3]]/Table5[[#This Row],[HCPCS code dosage 2020Q3]],"")</f>
        <v>0.41199999999999998</v>
      </c>
      <c r="AW55" s="144" t="s">
        <v>1126</v>
      </c>
      <c r="AX55" s="118" t="s">
        <v>1672</v>
      </c>
      <c r="AY55" s="144" t="s">
        <v>1470</v>
      </c>
      <c r="AZ55" s="144">
        <f>IFERROR(VLOOKUP(Table5[[#This Row],[HCPCS code 2021Q1]], ASP2021Q1[], 4, FALSE), "")</f>
        <v>0.112</v>
      </c>
      <c r="BA55" s="122">
        <f>IFERROR(Table5[[#This Row],[Payment limit 2021Q1]]/Table5[[#This Row],[HCPCS code dosage 2021Q1]], "")</f>
        <v>0.44800000000000001</v>
      </c>
      <c r="BB55" s="147" t="s">
        <v>1126</v>
      </c>
      <c r="BC55" s="118" t="s">
        <v>1672</v>
      </c>
      <c r="BD55" s="144" t="s">
        <v>1470</v>
      </c>
      <c r="BE55" s="144">
        <f>IFERROR(VLOOKUP(Table5[[#This Row],[HCPCS code 2021Q3]], ASP2021Q3[], 4, FALSE), "")</f>
        <v>4.8000000000000001E-2</v>
      </c>
      <c r="BF55" s="122">
        <f>IFERROR(Table5[[#This Row],[Payment limit 2021Q3]]/Table5[[#This Row],[HCPCS code dosage 2021Q3]], "")</f>
        <v>0.192</v>
      </c>
      <c r="BG55" s="147" t="s">
        <v>1126</v>
      </c>
      <c r="BH55" s="118" t="s">
        <v>1672</v>
      </c>
      <c r="BI55" s="144" t="s">
        <v>1470</v>
      </c>
      <c r="BJ55" s="144">
        <f>IFERROR(VLOOKUP(Table5[[#This Row],[HCPCS code 2022Q1]], ASP2022Q1[], 4, FALSE), "")</f>
        <v>9.4E-2</v>
      </c>
      <c r="BK55" s="122">
        <f>IFERROR(Table5[[#This Row],[Payment limit 2022Q1]]/Table5[[#This Row],[HCPCS code dosage 2022Q1]], "")</f>
        <v>0.376</v>
      </c>
      <c r="BL55" s="144" t="s">
        <v>1126</v>
      </c>
      <c r="BM55" s="184">
        <v>0.25</v>
      </c>
      <c r="BN55" s="144" t="s">
        <v>1470</v>
      </c>
      <c r="BO55" s="144">
        <f>IFERROR(VLOOKUP(Table5[[#This Row],[HCPCS Code 2022Q3]], ASP2022Q3[], 4, FALSE), "")</f>
        <v>0.1</v>
      </c>
      <c r="BP55" s="122">
        <f>IFERROR(Table5[[#This Row],[Payment limit 2022Q3]]/Table5[[#This Row],[HCPCS code dosage 2022Q3]], "")</f>
        <v>0.4</v>
      </c>
      <c r="BQ55" s="144" t="s">
        <v>1126</v>
      </c>
      <c r="BR55" s="118">
        <v>0.25</v>
      </c>
      <c r="BS55" s="144" t="s">
        <v>1470</v>
      </c>
      <c r="BT55" s="144">
        <v>0.105</v>
      </c>
      <c r="BU55" s="144">
        <f>IFERROR(Table5[[#This Row],[Payment limit 2023Q1]]/Table5[[#This Row],[HCPCS code dosage 2023Q1]], "")</f>
        <v>0.42</v>
      </c>
      <c r="BV55" s="79"/>
    </row>
    <row r="56" spans="1:74" x14ac:dyDescent="0.3">
      <c r="A56" s="194" t="s">
        <v>2160</v>
      </c>
      <c r="B56" s="287" t="s">
        <v>192</v>
      </c>
      <c r="C56" s="287">
        <v>1</v>
      </c>
      <c r="D56" s="308" t="s">
        <v>1470</v>
      </c>
      <c r="E56" s="293">
        <f>IFERROR(VLOOKUP(Table5[[#This Row],[HCPCS code 2016 Q1]], ASP2016Q1[], 4, FALSE), "")</f>
        <v>2.5950000000000002</v>
      </c>
      <c r="F56" s="304">
        <f>IFERROR(Table5[[#This Row],[Payment Limit 2016Q1]]/Table5[[#This Row],[HCPCS code dosage 2016Q1]], "")</f>
        <v>2.5950000000000002</v>
      </c>
      <c r="G56" s="287" t="s">
        <v>192</v>
      </c>
      <c r="H56" s="287">
        <v>1</v>
      </c>
      <c r="I56" s="308" t="s">
        <v>1470</v>
      </c>
      <c r="J56" s="293">
        <f>IFERROR(VLOOKUP(Table5[[#This Row],[HCPCS code 2016 Q3]], ASP2016Q3[], 4, FALSE), "")</f>
        <v>2.73</v>
      </c>
      <c r="K56" s="304">
        <f>IFERROR(Table5[[#This Row],[Payment Limit 2016Q3]]/Table5[[#This Row],[HCPCS code dosage 2016Q3]], "")</f>
        <v>2.73</v>
      </c>
      <c r="L56" s="287" t="s">
        <v>192</v>
      </c>
      <c r="M56" s="287">
        <v>1</v>
      </c>
      <c r="N56" s="308" t="s">
        <v>1470</v>
      </c>
      <c r="O56" s="291">
        <f>IFERROR(VLOOKUP(Table5[[#This Row],[HCPCS code 2017 Q1]], ASP2017Q1[], 4, FALSE), "")</f>
        <v>2.5569999999999999</v>
      </c>
      <c r="P56" s="302">
        <f>IFERROR(Table5[[#This Row],[Payment Limit 2017Q1]]/Table5[[#This Row],[HCPCS code dosage 2017Q1]], "")</f>
        <v>2.5569999999999999</v>
      </c>
      <c r="Q56" s="275" t="s">
        <v>192</v>
      </c>
      <c r="R56" s="275">
        <v>1</v>
      </c>
      <c r="S56" s="275" t="s">
        <v>1470</v>
      </c>
      <c r="T56" s="279">
        <f>IFERROR(VLOOKUP(Table5[[#This Row],[HCPCS code 2017 Q3]], ASP2017Q3[], 4, FALSE), "")</f>
        <v>1.7969999999999999</v>
      </c>
      <c r="U56" s="279">
        <f>IFERROR(Table5[[#This Row],[Payment Limit 2017Q3]]/Table5[[#This Row],[HCPCS code dosage 2017Q3]], "")</f>
        <v>1.7969999999999999</v>
      </c>
      <c r="V56" s="374" t="s">
        <v>192</v>
      </c>
      <c r="W56" s="377">
        <v>1</v>
      </c>
      <c r="X56" s="142" t="s">
        <v>1470</v>
      </c>
      <c r="Y56" s="279">
        <v>1.74</v>
      </c>
      <c r="Z56" s="370">
        <f>IFERROR(Table5[[#This Row],[Payment Limit 2018 Q1]]/Table5[[#This Row],[HCPCS code dosage 2018 Q1]],"")</f>
        <v>1.74</v>
      </c>
      <c r="AA56" s="374" t="s">
        <v>192</v>
      </c>
      <c r="AB56" s="381">
        <v>1</v>
      </c>
      <c r="AC56" s="142" t="s">
        <v>1470</v>
      </c>
      <c r="AD56" s="378">
        <v>1.8129999999999999</v>
      </c>
      <c r="AE56" s="370">
        <f>IFERROR(Table5[[#This Row],[Payment Limit 2018 Q3]]/Table5[[#This Row],[HCPCS code dosage 2018 Q3]],"")</f>
        <v>1.8129999999999999</v>
      </c>
      <c r="AF56" s="275" t="s">
        <v>192</v>
      </c>
      <c r="AG56" s="122">
        <v>1.345</v>
      </c>
      <c r="AH56" s="117" t="s">
        <v>192</v>
      </c>
      <c r="AI56" s="118" t="s">
        <v>1665</v>
      </c>
      <c r="AJ56" s="118" t="s">
        <v>1470</v>
      </c>
      <c r="AK56" s="139">
        <f>IFERROR(VLOOKUP(Table5[[#This Row],[HCPCS code 2019Q3]], ASP2019Q3[], 4, FALSE), "")</f>
        <v>0.85399999999999998</v>
      </c>
      <c r="AL56" s="72">
        <f>IFERROR(Table5[[#This Row],[Payment Limit 2019Q3]]/Table5[[#This Row],[HCPCS code dosage 2019Q3]], "")</f>
        <v>0.85399999999999998</v>
      </c>
      <c r="AM56" s="130" t="s">
        <v>192</v>
      </c>
      <c r="AN56" s="130">
        <v>1</v>
      </c>
      <c r="AO56" s="130" t="s">
        <v>1470</v>
      </c>
      <c r="AP56" s="126">
        <f>IFERROR(VLOOKUP(Table5[[#This Row],[HCPCS code 2020Q1]], ASP2020Q1[], 4, FALSE), "")</f>
        <v>0.96499999999999997</v>
      </c>
      <c r="AQ56" s="77">
        <f>IFERROR(Table5[[#This Row],[Payment Limit 2020Q1]]/Table5[[#This Row],[HCPCS code dosage 2020Q1]], "")</f>
        <v>0.96499999999999997</v>
      </c>
      <c r="AR56" s="133" t="s">
        <v>192</v>
      </c>
      <c r="AS56" s="130">
        <v>1</v>
      </c>
      <c r="AT56" s="130" t="s">
        <v>1470</v>
      </c>
      <c r="AU56" s="132">
        <f>IFERROR(VLOOKUP(Table5[[#This Row],[HCPCS code 2020Q3]], ASP2020Q3[], 4, FALSE), "")</f>
        <v>0.86799999999999999</v>
      </c>
      <c r="AV56" s="72">
        <f>IFERROR(Table5[[#This Row],[Payment limit 2020Q3]]/Table5[[#This Row],[HCPCS code dosage 2020Q3]],"")</f>
        <v>0.86799999999999999</v>
      </c>
      <c r="AW56" s="144" t="s">
        <v>192</v>
      </c>
      <c r="AX56" s="118">
        <v>1</v>
      </c>
      <c r="AY56" s="144" t="s">
        <v>1470</v>
      </c>
      <c r="AZ56" s="144">
        <f>IFERROR(VLOOKUP(Table5[[#This Row],[HCPCS code 2021Q1]], ASP2021Q1[], 4, FALSE), "")</f>
        <v>0.72</v>
      </c>
      <c r="BA56" s="122">
        <f>IFERROR(Table5[[#This Row],[Payment limit 2021Q1]]/Table5[[#This Row],[HCPCS code dosage 2021Q1]], "")</f>
        <v>0.72</v>
      </c>
      <c r="BB56" s="147" t="s">
        <v>192</v>
      </c>
      <c r="BC56" s="118">
        <v>1</v>
      </c>
      <c r="BD56" s="144" t="s">
        <v>1470</v>
      </c>
      <c r="BE56" s="144">
        <f>IFERROR(VLOOKUP(Table5[[#This Row],[HCPCS code 2021Q3]], ASP2021Q3[], 4, FALSE), "")</f>
        <v>0.53700000000000003</v>
      </c>
      <c r="BF56" s="122">
        <f>IFERROR(Table5[[#This Row],[Payment limit 2021Q3]]/Table5[[#This Row],[HCPCS code dosage 2021Q3]], "")</f>
        <v>0.53700000000000003</v>
      </c>
      <c r="BG56" s="147" t="s">
        <v>192</v>
      </c>
      <c r="BH56" s="118">
        <v>1</v>
      </c>
      <c r="BI56" s="144" t="s">
        <v>1470</v>
      </c>
      <c r="BJ56" s="144">
        <f>IFERROR(VLOOKUP(Table5[[#This Row],[HCPCS code 2022Q1]], ASP2022Q1[], 4, FALSE), "")</f>
        <v>0.45900000000000002</v>
      </c>
      <c r="BK56" s="122">
        <f>IFERROR(Table5[[#This Row],[Payment limit 2022Q1]]/Table5[[#This Row],[HCPCS code dosage 2022Q1]], "")</f>
        <v>0.45900000000000002</v>
      </c>
      <c r="BL56" s="144" t="s">
        <v>192</v>
      </c>
      <c r="BM56" s="184">
        <v>1</v>
      </c>
      <c r="BN56" s="144" t="s">
        <v>1470</v>
      </c>
      <c r="BO56" s="144">
        <f>IFERROR(VLOOKUP(Table5[[#This Row],[HCPCS Code 2022Q3]], ASP2022Q3[], 4, FALSE), "")</f>
        <v>0.498</v>
      </c>
      <c r="BP56" s="122">
        <f>IFERROR(Table5[[#This Row],[Payment limit 2022Q3]]/Table5[[#This Row],[HCPCS code dosage 2022Q3]], "")</f>
        <v>0.498</v>
      </c>
      <c r="BQ56" s="144" t="s">
        <v>192</v>
      </c>
      <c r="BR56" s="118">
        <v>1</v>
      </c>
      <c r="BS56" s="144" t="s">
        <v>1470</v>
      </c>
      <c r="BT56" s="144">
        <v>0.57699999999999996</v>
      </c>
      <c r="BU56" s="144">
        <f>IFERROR(Table5[[#This Row],[Payment limit 2023Q1]]/Table5[[#This Row],[HCPCS code dosage 2023Q1]], "")</f>
        <v>0.57699999999999996</v>
      </c>
      <c r="BV56" s="79"/>
    </row>
    <row r="57" spans="1:74" x14ac:dyDescent="0.3">
      <c r="A57" s="62" t="s">
        <v>2</v>
      </c>
      <c r="B57" s="286" t="s">
        <v>192</v>
      </c>
      <c r="C57" s="286">
        <v>1</v>
      </c>
      <c r="D57" s="307" t="s">
        <v>1470</v>
      </c>
      <c r="E57" s="292">
        <f>IFERROR(VLOOKUP(Table5[[#This Row],[HCPCS code 2016 Q1]], ASP2016Q1[], 4, FALSE), "")</f>
        <v>2.5950000000000002</v>
      </c>
      <c r="F57" s="303">
        <f>IFERROR(Table5[[#This Row],[Payment Limit 2016Q1]]/Table5[[#This Row],[HCPCS code dosage 2016Q1]], "")</f>
        <v>2.5950000000000002</v>
      </c>
      <c r="G57" s="286" t="s">
        <v>192</v>
      </c>
      <c r="H57" s="286">
        <v>1</v>
      </c>
      <c r="I57" s="307" t="s">
        <v>1470</v>
      </c>
      <c r="J57" s="292">
        <f>IFERROR(VLOOKUP(Table5[[#This Row],[HCPCS code 2016 Q3]], ASP2016Q3[], 4, FALSE), "")</f>
        <v>2.73</v>
      </c>
      <c r="K57" s="303">
        <f>IFERROR(Table5[[#This Row],[Payment Limit 2016Q3]]/Table5[[#This Row],[HCPCS code dosage 2016Q3]], "")</f>
        <v>2.73</v>
      </c>
      <c r="L57" s="286" t="s">
        <v>192</v>
      </c>
      <c r="M57" s="286">
        <v>1</v>
      </c>
      <c r="N57" s="307" t="s">
        <v>1470</v>
      </c>
      <c r="O57" s="291">
        <f>IFERROR(VLOOKUP(Table5[[#This Row],[HCPCS code 2017 Q1]], ASP2017Q1[], 4, FALSE), "")</f>
        <v>2.5569999999999999</v>
      </c>
      <c r="P57" s="302">
        <f>IFERROR(Table5[[#This Row],[Payment Limit 2017Q1]]/Table5[[#This Row],[HCPCS code dosage 2017Q1]], "")</f>
        <v>2.5569999999999999</v>
      </c>
      <c r="Q57" s="275" t="s">
        <v>192</v>
      </c>
      <c r="R57" s="275">
        <v>1</v>
      </c>
      <c r="S57" s="275" t="s">
        <v>1470</v>
      </c>
      <c r="T57" s="279">
        <f>IFERROR(VLOOKUP(Table5[[#This Row],[HCPCS code 2017 Q3]], ASP2017Q3[], 4, FALSE), "")</f>
        <v>1.7969999999999999</v>
      </c>
      <c r="U57" s="279">
        <f>IFERROR(Table5[[#This Row],[Payment Limit 2017Q3]]/Table5[[#This Row],[HCPCS code dosage 2017Q3]], "")</f>
        <v>1.7969999999999999</v>
      </c>
      <c r="V57" s="374" t="s">
        <v>192</v>
      </c>
      <c r="W57" s="377">
        <v>1</v>
      </c>
      <c r="X57" s="142" t="s">
        <v>1470</v>
      </c>
      <c r="Y57" s="279">
        <v>1.74</v>
      </c>
      <c r="Z57" s="370">
        <f>IFERROR(Table5[[#This Row],[Payment Limit 2018 Q1]]/Table5[[#This Row],[HCPCS code dosage 2018 Q1]],"")</f>
        <v>1.74</v>
      </c>
      <c r="AA57" s="374" t="s">
        <v>192</v>
      </c>
      <c r="AB57" s="381">
        <v>1</v>
      </c>
      <c r="AC57" s="142" t="s">
        <v>1470</v>
      </c>
      <c r="AD57" s="378">
        <v>1.8129999999999999</v>
      </c>
      <c r="AE57" s="370">
        <f>IFERROR(Table5[[#This Row],[Payment Limit 2018 Q3]]/Table5[[#This Row],[HCPCS code dosage 2018 Q3]],"")</f>
        <v>1.8129999999999999</v>
      </c>
      <c r="AF57" s="275" t="s">
        <v>192</v>
      </c>
      <c r="AG57" s="122">
        <v>1.345</v>
      </c>
      <c r="AH57" s="117" t="s">
        <v>192</v>
      </c>
      <c r="AI57" s="118" t="s">
        <v>1665</v>
      </c>
      <c r="AJ57" s="118" t="s">
        <v>1470</v>
      </c>
      <c r="AK57" s="115">
        <f>IFERROR(VLOOKUP(Table5[[#This Row],[HCPCS code 2019Q3]], ASP2019Q3[], 4, FALSE), "")</f>
        <v>0.85399999999999998</v>
      </c>
      <c r="AL57" s="72">
        <f>IFERROR(Table5[[#This Row],[Payment Limit 2019Q3]]/Table5[[#This Row],[HCPCS code dosage 2019Q3]], "")</f>
        <v>0.85399999999999998</v>
      </c>
      <c r="AM57" s="130" t="s">
        <v>192</v>
      </c>
      <c r="AN57" s="130" t="s">
        <v>1665</v>
      </c>
      <c r="AO57" s="130" t="s">
        <v>1470</v>
      </c>
      <c r="AP57" s="126">
        <f>IFERROR(VLOOKUP(Table5[[#This Row],[HCPCS code 2020Q1]], ASP2020Q1[], 4, FALSE), "")</f>
        <v>0.96499999999999997</v>
      </c>
      <c r="AQ57" s="77">
        <f>IFERROR(Table5[[#This Row],[Payment Limit 2020Q1]]/Table5[[#This Row],[HCPCS code dosage 2020Q1]], "")</f>
        <v>0.96499999999999997</v>
      </c>
      <c r="AR57" s="133" t="s">
        <v>192</v>
      </c>
      <c r="AS57" s="130" t="s">
        <v>1665</v>
      </c>
      <c r="AT57" s="130" t="s">
        <v>1470</v>
      </c>
      <c r="AU57" s="132">
        <f>IFERROR(VLOOKUP(Table5[[#This Row],[HCPCS code 2020Q3]], ASP2020Q3[], 4, FALSE), "")</f>
        <v>0.86799999999999999</v>
      </c>
      <c r="AV57" s="72">
        <f>IFERROR(Table5[[#This Row],[Payment limit 2020Q3]]/Table5[[#This Row],[HCPCS code dosage 2020Q3]],"")</f>
        <v>0.86799999999999999</v>
      </c>
      <c r="AW57" s="144" t="s">
        <v>192</v>
      </c>
      <c r="AX57" s="118" t="s">
        <v>1665</v>
      </c>
      <c r="AY57" s="144" t="s">
        <v>1470</v>
      </c>
      <c r="AZ57" s="144">
        <f>IFERROR(VLOOKUP(Table5[[#This Row],[HCPCS code 2021Q1]], ASP2021Q1[], 4, FALSE), "")</f>
        <v>0.72</v>
      </c>
      <c r="BA57" s="122">
        <f>IFERROR(Table5[[#This Row],[Payment limit 2021Q1]]/Table5[[#This Row],[HCPCS code dosage 2021Q1]], "")</f>
        <v>0.72</v>
      </c>
      <c r="BB57" s="147" t="s">
        <v>192</v>
      </c>
      <c r="BC57" s="118" t="s">
        <v>1665</v>
      </c>
      <c r="BD57" s="144" t="s">
        <v>1470</v>
      </c>
      <c r="BE57" s="144">
        <f>IFERROR(VLOOKUP(Table5[[#This Row],[HCPCS code 2021Q3]], ASP2021Q3[], 4, FALSE), "")</f>
        <v>0.53700000000000003</v>
      </c>
      <c r="BF57" s="122">
        <f>IFERROR(Table5[[#This Row],[Payment limit 2021Q3]]/Table5[[#This Row],[HCPCS code dosage 2021Q3]], "")</f>
        <v>0.53700000000000003</v>
      </c>
      <c r="BG57" s="147" t="s">
        <v>192</v>
      </c>
      <c r="BH57" s="118" t="s">
        <v>1665</v>
      </c>
      <c r="BI57" s="144" t="s">
        <v>1470</v>
      </c>
      <c r="BJ57" s="144">
        <f>IFERROR(VLOOKUP(Table5[[#This Row],[HCPCS code 2022Q1]], ASP2022Q1[], 4, FALSE), "")</f>
        <v>0.45900000000000002</v>
      </c>
      <c r="BK57" s="122">
        <f>IFERROR(Table5[[#This Row],[Payment limit 2022Q1]]/Table5[[#This Row],[HCPCS code dosage 2022Q1]], "")</f>
        <v>0.45900000000000002</v>
      </c>
      <c r="BL57" s="144" t="s">
        <v>192</v>
      </c>
      <c r="BM57" s="184">
        <v>1</v>
      </c>
      <c r="BN57" s="144" t="s">
        <v>1470</v>
      </c>
      <c r="BO57" s="144">
        <f>IFERROR(VLOOKUP(Table5[[#This Row],[HCPCS Code 2022Q3]], ASP2022Q3[], 4, FALSE), "")</f>
        <v>0.498</v>
      </c>
      <c r="BP57" s="122">
        <f>IFERROR(Table5[[#This Row],[Payment limit 2022Q3]]/Table5[[#This Row],[HCPCS code dosage 2022Q3]], "")</f>
        <v>0.498</v>
      </c>
      <c r="BQ57" s="144" t="s">
        <v>192</v>
      </c>
      <c r="BR57" s="118">
        <v>1</v>
      </c>
      <c r="BS57" s="144" t="s">
        <v>1470</v>
      </c>
      <c r="BT57" s="144">
        <v>0.57699999999999996</v>
      </c>
      <c r="BU57" s="144">
        <f>IFERROR(Table5[[#This Row],[Payment limit 2023Q1]]/Table5[[#This Row],[HCPCS code dosage 2023Q1]], "")</f>
        <v>0.57699999999999996</v>
      </c>
      <c r="BV57" s="79"/>
    </row>
    <row r="58" spans="1:74" x14ac:dyDescent="0.3">
      <c r="A58" s="69" t="s">
        <v>1704</v>
      </c>
      <c r="B58" s="273" t="s">
        <v>1913</v>
      </c>
      <c r="C58" s="273">
        <v>100</v>
      </c>
      <c r="D58" s="275" t="s">
        <v>1470</v>
      </c>
      <c r="E58" s="280">
        <f>IFERROR(VLOOKUP(Table5[[#This Row],[HCPCS code 2016 Q1]], ASP2016Q1[], 4, FALSE), "")</f>
        <v>111.52200000000001</v>
      </c>
      <c r="F58" s="305">
        <f>IFERROR(Table5[[#This Row],[Payment Limit 2016Q1]]/Table5[[#This Row],[HCPCS code dosage 2016Q1]], "")</f>
        <v>1.1152200000000001</v>
      </c>
      <c r="G58" s="273" t="s">
        <v>1913</v>
      </c>
      <c r="H58" s="273">
        <v>100</v>
      </c>
      <c r="I58" s="275" t="s">
        <v>1470</v>
      </c>
      <c r="J58" s="280">
        <f>IFERROR(VLOOKUP(Table5[[#This Row],[HCPCS code 2016 Q3]], ASP2016Q3[], 4, FALSE), "")</f>
        <v>95.221999999999994</v>
      </c>
      <c r="K58" s="305">
        <f>IFERROR(Table5[[#This Row],[Payment Limit 2016Q3]]/Table5[[#This Row],[HCPCS code dosage 2016Q3]], "")</f>
        <v>0.95221999999999996</v>
      </c>
      <c r="L58" s="273" t="s">
        <v>1913</v>
      </c>
      <c r="M58" s="273">
        <v>100</v>
      </c>
      <c r="N58" s="275" t="s">
        <v>1470</v>
      </c>
      <c r="O58" s="291">
        <f>IFERROR(VLOOKUP(Table5[[#This Row],[HCPCS code 2017 Q1]], ASP2017Q1[], 4, FALSE), "")</f>
        <v>101.23636</v>
      </c>
      <c r="P58" s="302">
        <f>IFERROR(Table5[[#This Row],[Payment Limit 2017Q1]]/Table5[[#This Row],[HCPCS code dosage 2017Q1]], "")</f>
        <v>1.0123636</v>
      </c>
      <c r="Q58" s="275" t="s">
        <v>1913</v>
      </c>
      <c r="R58" s="275" t="s">
        <v>2434</v>
      </c>
      <c r="S58" s="273"/>
      <c r="T58" s="280" t="str">
        <f>IFERROR(VLOOKUP(Table5[[#This Row],[HCPCS code 2017 Q3]], ASP2017Q3[], 4, FALSE), "")</f>
        <v/>
      </c>
      <c r="U58" s="280" t="str">
        <f>IFERROR(Table5[[#This Row],[Payment Limit 2017Q3]]/Table5[[#This Row],[HCPCS code dosage 2017Q3]], "")</f>
        <v/>
      </c>
      <c r="V58" s="374"/>
      <c r="W58" s="377"/>
      <c r="X58" s="142"/>
      <c r="Y58" s="280"/>
      <c r="Z58" s="305"/>
      <c r="AA58" s="374"/>
      <c r="AB58" s="381"/>
      <c r="AC58" s="142"/>
      <c r="AD58" s="378"/>
      <c r="AE58" s="305"/>
      <c r="AF58" s="273" t="s">
        <v>1913</v>
      </c>
      <c r="AG58" s="122">
        <v>0.8217000000000001</v>
      </c>
      <c r="AH58" s="124" t="s">
        <v>1913</v>
      </c>
      <c r="AI58" s="118"/>
      <c r="AJ58" s="118"/>
      <c r="AK58" s="115" t="str">
        <f>IFERROR(VLOOKUP(Table5[[#This Row],[HCPCS code 2019Q3]], ASP2019Q3[], 4, FALSE), "")</f>
        <v/>
      </c>
      <c r="AL58" s="72" t="str">
        <f>IFERROR(Table5[[#This Row],[Payment Limit 2019Q3]]/Table5[[#This Row],[HCPCS code dosage 2019Q3]], "")</f>
        <v/>
      </c>
      <c r="AM58" s="519" t="s">
        <v>1913</v>
      </c>
      <c r="AN58" s="130"/>
      <c r="AO58" s="130"/>
      <c r="AP58" s="126" t="str">
        <f>IFERROR(VLOOKUP(Table5[[#This Row],[HCPCS code 2020Q1]], ASP2020Q1[], 4, FALSE), "")</f>
        <v/>
      </c>
      <c r="AQ58" s="77" t="str">
        <f>IFERROR(Table5[[#This Row],[Payment Limit 2020Q1]]/Table5[[#This Row],[HCPCS code dosage 2020Q1]], "")</f>
        <v/>
      </c>
      <c r="AR58" s="520" t="s">
        <v>1913</v>
      </c>
      <c r="AS58" s="130">
        <v>0</v>
      </c>
      <c r="AT58" s="130">
        <v>0</v>
      </c>
      <c r="AU58" s="132" t="str">
        <f>IFERROR(VLOOKUP(Table5[[#This Row],[HCPCS code 2020Q3]], ASP2020Q3[], 4, FALSE), "")</f>
        <v/>
      </c>
      <c r="AV58" s="72" t="str">
        <f>IFERROR(Table5[[#This Row],[Payment limit 2020Q3]]/Table5[[#This Row],[HCPCS code dosage 2020Q3]],"")</f>
        <v/>
      </c>
      <c r="AW58" s="144" t="s">
        <v>1913</v>
      </c>
      <c r="AX58" s="118">
        <v>0</v>
      </c>
      <c r="AY58" s="144">
        <v>0</v>
      </c>
      <c r="AZ58" s="144" t="str">
        <f>IFERROR(VLOOKUP(Table5[[#This Row],[HCPCS code 2021Q1]], ASP2021Q1[], 4, FALSE), "")</f>
        <v/>
      </c>
      <c r="BA58" s="122" t="str">
        <f>IFERROR(Table5[[#This Row],[Payment limit 2021Q1]]/Table5[[#This Row],[HCPCS code dosage 2021Q1]], "")</f>
        <v/>
      </c>
      <c r="BB58" s="147" t="s">
        <v>1913</v>
      </c>
      <c r="BC58" s="118">
        <v>0</v>
      </c>
      <c r="BD58" s="144">
        <v>0</v>
      </c>
      <c r="BE58" s="144" t="str">
        <f>IFERROR(VLOOKUP(Table5[[#This Row],[HCPCS code 2021Q3]], ASP2021Q3[], 4, FALSE), "")</f>
        <v/>
      </c>
      <c r="BF58" s="122" t="str">
        <f>IFERROR(Table5[[#This Row],[Payment limit 2021Q3]]/Table5[[#This Row],[HCPCS code dosage 2021Q3]], "")</f>
        <v/>
      </c>
      <c r="BG58" s="147" t="s">
        <v>1913</v>
      </c>
      <c r="BH58" s="118">
        <v>0</v>
      </c>
      <c r="BI58" s="144">
        <v>0</v>
      </c>
      <c r="BJ58" s="144" t="str">
        <f>IFERROR(VLOOKUP(Table5[[#This Row],[HCPCS code 2022Q1]], ASP2022Q1[], 4, FALSE), "")</f>
        <v/>
      </c>
      <c r="BK58" s="122" t="str">
        <f>IFERROR(Table5[[#This Row],[Payment limit 2022Q1]]/Table5[[#This Row],[HCPCS code dosage 2022Q1]], "")</f>
        <v/>
      </c>
      <c r="BL58" s="144" t="s">
        <v>1913</v>
      </c>
      <c r="BM58" s="184">
        <v>0</v>
      </c>
      <c r="BN58" s="144"/>
      <c r="BO58" s="144" t="str">
        <f>IFERROR(VLOOKUP(Table5[[#This Row],[HCPCS Code 2022Q3]], ASP2022Q3[], 4, FALSE), "")</f>
        <v/>
      </c>
      <c r="BP58" s="122" t="str">
        <f>IFERROR(Table5[[#This Row],[Payment limit 2022Q3]]/Table5[[#This Row],[HCPCS code dosage 2022Q3]], "")</f>
        <v/>
      </c>
      <c r="BQ58" s="144" t="s">
        <v>1913</v>
      </c>
      <c r="BR58" s="118"/>
      <c r="BS58" s="144"/>
      <c r="BT58" s="144" t="s">
        <v>2365</v>
      </c>
      <c r="BU58" s="144" t="str">
        <f>IFERROR(Table5[[#This Row],[Payment limit 2023Q1]]/Table5[[#This Row],[HCPCS code dosage 2023Q1]], "")</f>
        <v/>
      </c>
      <c r="BV58" s="79" t="s">
        <v>1715</v>
      </c>
    </row>
    <row r="59" spans="1:74" x14ac:dyDescent="0.3">
      <c r="A59" s="69" t="s">
        <v>2725</v>
      </c>
      <c r="B59" s="287"/>
      <c r="C59" s="287"/>
      <c r="D59" s="308"/>
      <c r="E59" s="280" t="str">
        <f>IFERROR(VLOOKUP(Table5[[#This Row],[HCPCS code 2016 Q1]], ASP2016Q1[], 4, FALSE), "")</f>
        <v/>
      </c>
      <c r="F59" s="305" t="str">
        <f>IFERROR(Table5[[#This Row],[Payment Limit 2016Q1]]/Table5[[#This Row],[HCPCS code dosage 2016Q1]], "")</f>
        <v/>
      </c>
      <c r="G59" s="287"/>
      <c r="H59" s="287"/>
      <c r="I59" s="308"/>
      <c r="J59" s="280" t="str">
        <f>IFERROR(VLOOKUP(Table5[[#This Row],[HCPCS code 2016 Q3]], ASP2016Q3[], 4, FALSE), "")</f>
        <v/>
      </c>
      <c r="K59" s="305" t="str">
        <f>IFERROR(Table5[[#This Row],[Payment Limit 2016Q3]]/Table5[[#This Row],[HCPCS code dosage 2016Q3]], "")</f>
        <v/>
      </c>
      <c r="L59" s="273"/>
      <c r="M59" s="273"/>
      <c r="N59" s="275"/>
      <c r="O59" s="280" t="str">
        <f>IFERROR(VLOOKUP(Table5[[#This Row],[HCPCS code 2017 Q1]], ASP2017Q1[], 4, FALSE), "")</f>
        <v/>
      </c>
      <c r="P59" s="305" t="str">
        <f>IFERROR(Table5[[#This Row],[Payment Limit 2017Q1]]/Table5[[#This Row],[HCPCS code dosage 2017Q1]], "")</f>
        <v/>
      </c>
      <c r="Q59" s="142"/>
      <c r="R59" s="416"/>
      <c r="S59" s="416"/>
      <c r="T59" s="280" t="str">
        <f>IFERROR(VLOOKUP(Table5[[#This Row],[HCPCS code 2017 Q3]], ASP2017Q3[], 4, FALSE), "")</f>
        <v/>
      </c>
      <c r="U59" s="280" t="str">
        <f>IFERROR(Table5[[#This Row],[Payment Limit 2017Q3]]/Table5[[#This Row],[HCPCS code dosage 2017Q3]], "")</f>
        <v/>
      </c>
      <c r="V59" s="374"/>
      <c r="W59" s="377"/>
      <c r="X59" s="142"/>
      <c r="Y59" s="279"/>
      <c r="Z59" s="370" t="str">
        <f>IFERROR(Table5[[#This Row],[Payment Limit 2018 Q1]]/Table5[[#This Row],[HCPCS code dosage 2018 Q1]],"")</f>
        <v/>
      </c>
      <c r="AA59" s="374"/>
      <c r="AB59" s="381"/>
      <c r="AC59" s="142"/>
      <c r="AD59" s="378"/>
      <c r="AE59" s="305" t="str">
        <f>IFERROR(Table5[[#This Row],[Payment Limit 2018 Q3]]/Table5[[#This Row],[HCPCS code dosage 2018 Q3]],"")</f>
        <v/>
      </c>
      <c r="AF59" s="416"/>
      <c r="AG59" s="122"/>
      <c r="AH59" s="117"/>
      <c r="AI59" s="118"/>
      <c r="AJ59" s="118"/>
      <c r="AK59" s="132" t="str">
        <f>IFERROR(VLOOKUP(Table5[[#This Row],[HCPCS code 2019Q3]], ASP2019Q3[], 4, FALSE), "")</f>
        <v/>
      </c>
      <c r="AL59" s="72" t="str">
        <f>IFERROR(Table5[[#This Row],[Payment Limit 2019Q3]]/Table5[[#This Row],[HCPCS code dosage 2019Q3]], "")</f>
        <v/>
      </c>
      <c r="AM59" s="130"/>
      <c r="AN59" s="130"/>
      <c r="AO59" s="130"/>
      <c r="AP59" s="126" t="str">
        <f>IFERROR(VLOOKUP(Table5[[#This Row],[HCPCS code 2020Q1]], ASP2020Q1[], 4, FALSE), "")</f>
        <v/>
      </c>
      <c r="AQ59" s="77" t="str">
        <f>IFERROR(Table5[[#This Row],[Payment Limit 2020Q1]]/Table5[[#This Row],[HCPCS code dosage 2020Q1]], "")</f>
        <v/>
      </c>
      <c r="AR59" s="133"/>
      <c r="AS59" s="130"/>
      <c r="AT59" s="130"/>
      <c r="AU59" s="132" t="str">
        <f>IFERROR(VLOOKUP(Table5[[#This Row],[HCPCS code 2020Q3]], ASP2020Q3[], 4, FALSE), "")</f>
        <v/>
      </c>
      <c r="AV59" s="72" t="str">
        <f>IFERROR(Table5[[#This Row],[Payment limit 2020Q3]]/Table5[[#This Row],[HCPCS code dosage 2020Q3]],"")</f>
        <v/>
      </c>
      <c r="AW59" s="144"/>
      <c r="AX59" s="118"/>
      <c r="AY59" s="144"/>
      <c r="AZ59" s="144" t="str">
        <f>IFERROR(VLOOKUP(Table5[[#This Row],[HCPCS code 2021Q1]], ASP2021Q1[], 4, FALSE), "")</f>
        <v/>
      </c>
      <c r="BA59" s="122" t="str">
        <f>IFERROR(Table5[[#This Row],[Payment limit 2021Q1]]/Table5[[#This Row],[HCPCS code dosage 2021Q1]], "")</f>
        <v/>
      </c>
      <c r="BB59" s="147"/>
      <c r="BC59" s="118"/>
      <c r="BD59" s="144"/>
      <c r="BE59" s="144" t="str">
        <f>IFERROR(VLOOKUP(Table5[[#This Row],[HCPCS code 2021Q3]], ASP2021Q3[], 4, FALSE), "")</f>
        <v/>
      </c>
      <c r="BF59" s="122" t="str">
        <f>IFERROR(Table5[[#This Row],[Payment limit 2021Q3]]/Table5[[#This Row],[HCPCS code dosage 2021Q3]], "")</f>
        <v/>
      </c>
      <c r="BG59" s="147" t="s">
        <v>2029</v>
      </c>
      <c r="BH59" s="118">
        <v>10</v>
      </c>
      <c r="BI59" s="144" t="s">
        <v>1470</v>
      </c>
      <c r="BJ59" s="144">
        <f>IFERROR(VLOOKUP(Table5[[#This Row],[HCPCS code 2022Q1]], ASP2022Q1[], 4, FALSE), "")</f>
        <v>215.11600000000001</v>
      </c>
      <c r="BK59" s="122">
        <f>IFERROR(Table5[[#This Row],[Payment limit 2022Q1]]/Table5[[#This Row],[HCPCS code dosage 2022Q1]], "")</f>
        <v>21.511600000000001</v>
      </c>
      <c r="BL59" s="144"/>
      <c r="BM59" s="184"/>
      <c r="BN59" s="144"/>
      <c r="BO59" s="144" t="str">
        <f>IFERROR(VLOOKUP(Table5[[#This Row],[HCPCS Code 2022Q3]], ASP2022Q3[], 4, FALSE), "")</f>
        <v/>
      </c>
      <c r="BP59" s="122" t="str">
        <f>IFERROR(Table5[[#This Row],[Payment limit 2022Q3]]/Table5[[#This Row],[HCPCS code dosage 2022Q3]], "")</f>
        <v/>
      </c>
      <c r="BQ59" s="144"/>
      <c r="BR59" s="521"/>
      <c r="BS59" s="144"/>
      <c r="BT59" s="144"/>
      <c r="BU59" s="144" t="str">
        <f>IFERROR(Table5[[#This Row],[Payment limit 2023Q1]]/Table5[[#This Row],[HCPCS code dosage 2023Q1]], "")</f>
        <v/>
      </c>
      <c r="BV59" s="79"/>
    </row>
    <row r="60" spans="1:74" x14ac:dyDescent="0.3">
      <c r="A60" s="62" t="s">
        <v>1</v>
      </c>
      <c r="B60" s="286" t="s">
        <v>1144</v>
      </c>
      <c r="C60" s="286">
        <v>10</v>
      </c>
      <c r="D60" s="307" t="s">
        <v>1470</v>
      </c>
      <c r="E60" s="292">
        <f>IFERROR(VLOOKUP(Table5[[#This Row],[HCPCS code 2016 Q1]], ASP2016Q1[], 4, FALSE), "")</f>
        <v>3.1019999999999999</v>
      </c>
      <c r="F60" s="303">
        <f>IFERROR(Table5[[#This Row],[Payment Limit 2016Q1]]/Table5[[#This Row],[HCPCS code dosage 2016Q1]], "")</f>
        <v>0.31019999999999998</v>
      </c>
      <c r="G60" s="286" t="s">
        <v>1144</v>
      </c>
      <c r="H60" s="286">
        <v>10</v>
      </c>
      <c r="I60" s="307" t="s">
        <v>1470</v>
      </c>
      <c r="J60" s="292">
        <f>IFERROR(VLOOKUP(Table5[[#This Row],[HCPCS code 2016 Q3]], ASP2016Q3[], 4, FALSE), "")</f>
        <v>2.64</v>
      </c>
      <c r="K60" s="303">
        <f>IFERROR(Table5[[#This Row],[Payment Limit 2016Q3]]/Table5[[#This Row],[HCPCS code dosage 2016Q3]], "")</f>
        <v>0.26400000000000001</v>
      </c>
      <c r="L60" s="289" t="s">
        <v>1144</v>
      </c>
      <c r="M60" s="290">
        <v>10</v>
      </c>
      <c r="N60" s="290" t="s">
        <v>1470</v>
      </c>
      <c r="O60" s="291">
        <f>IFERROR(VLOOKUP(Table5[[#This Row],[HCPCS code 2017 Q1]], ASP2017Q1[], 4, FALSE), "")</f>
        <v>2.415</v>
      </c>
      <c r="P60" s="302">
        <f>IFERROR(Table5[[#This Row],[Payment Limit 2017Q1]]/Table5[[#This Row],[HCPCS code dosage 2017Q1]], "")</f>
        <v>0.24149999999999999</v>
      </c>
      <c r="Q60" s="275" t="s">
        <v>1144</v>
      </c>
      <c r="R60" s="275">
        <v>10</v>
      </c>
      <c r="S60" s="275" t="s">
        <v>1470</v>
      </c>
      <c r="T60" s="279">
        <f>IFERROR(VLOOKUP(Table5[[#This Row],[HCPCS code 2017 Q3]], ASP2017Q3[], 4, FALSE), "")</f>
        <v>2.67</v>
      </c>
      <c r="U60" s="279">
        <f>IFERROR(Table5[[#This Row],[Payment Limit 2017Q3]]/Table5[[#This Row],[HCPCS code dosage 2017Q3]], "")</f>
        <v>0.26700000000000002</v>
      </c>
      <c r="V60" s="374" t="s">
        <v>1144</v>
      </c>
      <c r="W60" s="377">
        <v>10</v>
      </c>
      <c r="X60" s="142" t="s">
        <v>1470</v>
      </c>
      <c r="Y60" s="279">
        <v>3.1349999999999998</v>
      </c>
      <c r="Z60" s="370">
        <f>IFERROR(Table5[[#This Row],[Payment Limit 2018 Q1]]/Table5[[#This Row],[HCPCS code dosage 2018 Q1]],"")</f>
        <v>0.3135</v>
      </c>
      <c r="AA60" s="374" t="s">
        <v>1144</v>
      </c>
      <c r="AB60" s="381">
        <v>10</v>
      </c>
      <c r="AC60" s="142" t="s">
        <v>1470</v>
      </c>
      <c r="AD60" s="378">
        <v>3.0710000000000002</v>
      </c>
      <c r="AE60" s="370">
        <f>IFERROR(Table5[[#This Row],[Payment Limit 2018 Q3]]/Table5[[#This Row],[HCPCS code dosage 2018 Q3]],"")</f>
        <v>0.30710000000000004</v>
      </c>
      <c r="AF60" s="275" t="s">
        <v>1144</v>
      </c>
      <c r="AG60" s="122">
        <v>0.30630000000000002</v>
      </c>
      <c r="AH60" s="117" t="s">
        <v>1144</v>
      </c>
      <c r="AI60" s="118" t="s">
        <v>1664</v>
      </c>
      <c r="AJ60" s="118" t="s">
        <v>1470</v>
      </c>
      <c r="AK60" s="115">
        <f>IFERROR(VLOOKUP(Table5[[#This Row],[HCPCS code 2019Q3]], ASP2019Q3[], 4, FALSE), "")</f>
        <v>2.8940000000000001</v>
      </c>
      <c r="AL60" s="72">
        <f>IFERROR(Table5[[#This Row],[Payment Limit 2019Q3]]/Table5[[#This Row],[HCPCS code dosage 2019Q3]], "")</f>
        <v>0.28939999999999999</v>
      </c>
      <c r="AM60" s="130" t="s">
        <v>1144</v>
      </c>
      <c r="AN60" s="130" t="s">
        <v>1664</v>
      </c>
      <c r="AO60" s="130" t="s">
        <v>1470</v>
      </c>
      <c r="AP60" s="126">
        <f>IFERROR(VLOOKUP(Table5[[#This Row],[HCPCS code 2020Q1]], ASP2020Q1[], 4, FALSE), "")</f>
        <v>2.867</v>
      </c>
      <c r="AQ60" s="77">
        <f>IFERROR(Table5[[#This Row],[Payment Limit 2020Q1]]/Table5[[#This Row],[HCPCS code dosage 2020Q1]], "")</f>
        <v>0.28670000000000001</v>
      </c>
      <c r="AR60" s="133" t="s">
        <v>1144</v>
      </c>
      <c r="AS60" s="130" t="s">
        <v>1664</v>
      </c>
      <c r="AT60" s="130" t="s">
        <v>1470</v>
      </c>
      <c r="AU60" s="132">
        <f>IFERROR(VLOOKUP(Table5[[#This Row],[HCPCS code 2020Q3]], ASP2020Q3[], 4, FALSE), "")</f>
        <v>2.931</v>
      </c>
      <c r="AV60" s="72">
        <f>IFERROR(Table5[[#This Row],[Payment limit 2020Q3]]/Table5[[#This Row],[HCPCS code dosage 2020Q3]],"")</f>
        <v>0.29310000000000003</v>
      </c>
      <c r="AW60" s="144" t="s">
        <v>1144</v>
      </c>
      <c r="AX60" s="118" t="s">
        <v>1664</v>
      </c>
      <c r="AY60" s="144" t="s">
        <v>1470</v>
      </c>
      <c r="AZ60" s="144">
        <f>IFERROR(VLOOKUP(Table5[[#This Row],[HCPCS code 2021Q1]], ASP2021Q1[], 4, FALSE), "")</f>
        <v>2.5</v>
      </c>
      <c r="BA60" s="122">
        <f>IFERROR(Table5[[#This Row],[Payment limit 2021Q1]]/Table5[[#This Row],[HCPCS code dosage 2021Q1]], "")</f>
        <v>0.25</v>
      </c>
      <c r="BB60" s="147" t="s">
        <v>1144</v>
      </c>
      <c r="BC60" s="118" t="s">
        <v>1664</v>
      </c>
      <c r="BD60" s="144" t="s">
        <v>1470</v>
      </c>
      <c r="BE60" s="144">
        <f>IFERROR(VLOOKUP(Table5[[#This Row],[HCPCS code 2021Q3]], ASP2021Q3[], 4, FALSE), "")</f>
        <v>2.5659999999999998</v>
      </c>
      <c r="BF60" s="122">
        <f>IFERROR(Table5[[#This Row],[Payment limit 2021Q3]]/Table5[[#This Row],[HCPCS code dosage 2021Q3]], "")</f>
        <v>0.25659999999999999</v>
      </c>
      <c r="BG60" s="147" t="s">
        <v>1144</v>
      </c>
      <c r="BH60" s="118" t="s">
        <v>1664</v>
      </c>
      <c r="BI60" s="144" t="s">
        <v>1470</v>
      </c>
      <c r="BJ60" s="144">
        <f>IFERROR(VLOOKUP(Table5[[#This Row],[HCPCS code 2022Q1]], ASP2022Q1[], 4, FALSE), "")</f>
        <v>3.484</v>
      </c>
      <c r="BK60" s="122">
        <f>IFERROR(Table5[[#This Row],[Payment limit 2022Q1]]/Table5[[#This Row],[HCPCS code dosage 2022Q1]], "")</f>
        <v>0.34839999999999999</v>
      </c>
      <c r="BL60" s="144" t="s">
        <v>1144</v>
      </c>
      <c r="BM60" s="184">
        <v>10</v>
      </c>
      <c r="BN60" s="144" t="s">
        <v>1470</v>
      </c>
      <c r="BO60" s="144">
        <f>IFERROR(VLOOKUP(Table5[[#This Row],[HCPCS Code 2022Q3]], ASP2022Q3[], 4, FALSE), "")</f>
        <v>2.5110000000000001</v>
      </c>
      <c r="BP60" s="122">
        <f>IFERROR(Table5[[#This Row],[Payment limit 2022Q3]]/Table5[[#This Row],[HCPCS code dosage 2022Q3]], "")</f>
        <v>0.25109999999999999</v>
      </c>
      <c r="BQ60" s="144" t="s">
        <v>1144</v>
      </c>
      <c r="BR60" s="118">
        <v>10</v>
      </c>
      <c r="BS60" s="144" t="s">
        <v>1470</v>
      </c>
      <c r="BT60" s="144">
        <v>2.3969999999999998</v>
      </c>
      <c r="BU60" s="144">
        <f>IFERROR(Table5[[#This Row],[Payment limit 2023Q1]]/Table5[[#This Row],[HCPCS code dosage 2023Q1]], "")</f>
        <v>0.23969999999999997</v>
      </c>
      <c r="BV60" s="79"/>
    </row>
    <row r="61" spans="1:74" x14ac:dyDescent="0.3">
      <c r="A61" s="62" t="s">
        <v>183</v>
      </c>
      <c r="B61" s="286" t="s">
        <v>1144</v>
      </c>
      <c r="C61" s="286">
        <v>10</v>
      </c>
      <c r="D61" s="307" t="s">
        <v>1470</v>
      </c>
      <c r="E61" s="292">
        <f>IFERROR(VLOOKUP(Table5[[#This Row],[HCPCS code 2016 Q1]], ASP2016Q1[], 4, FALSE), "")</f>
        <v>3.1019999999999999</v>
      </c>
      <c r="F61" s="303">
        <f>IFERROR(Table5[[#This Row],[Payment Limit 2016Q1]]/Table5[[#This Row],[HCPCS code dosage 2016Q1]], "")</f>
        <v>0.31019999999999998</v>
      </c>
      <c r="G61" s="286" t="s">
        <v>1144</v>
      </c>
      <c r="H61" s="286">
        <v>10</v>
      </c>
      <c r="I61" s="307" t="s">
        <v>1470</v>
      </c>
      <c r="J61" s="292">
        <f>IFERROR(VLOOKUP(Table5[[#This Row],[HCPCS code 2016 Q3]], ASP2016Q3[], 4, FALSE), "")</f>
        <v>2.64</v>
      </c>
      <c r="K61" s="303">
        <f>IFERROR(Table5[[#This Row],[Payment Limit 2016Q3]]/Table5[[#This Row],[HCPCS code dosage 2016Q3]], "")</f>
        <v>0.26400000000000001</v>
      </c>
      <c r="L61" s="286" t="s">
        <v>1144</v>
      </c>
      <c r="M61" s="286">
        <v>10</v>
      </c>
      <c r="N61" s="307" t="s">
        <v>1470</v>
      </c>
      <c r="O61" s="291">
        <f>IFERROR(VLOOKUP(Table5[[#This Row],[HCPCS code 2017 Q1]], ASP2017Q1[], 4, FALSE), "")</f>
        <v>2.415</v>
      </c>
      <c r="P61" s="302">
        <f>IFERROR(Table5[[#This Row],[Payment Limit 2017Q1]]/Table5[[#This Row],[HCPCS code dosage 2017Q1]], "")</f>
        <v>0.24149999999999999</v>
      </c>
      <c r="Q61" s="275" t="s">
        <v>1144</v>
      </c>
      <c r="R61" s="275">
        <v>10</v>
      </c>
      <c r="S61" s="275" t="s">
        <v>1470</v>
      </c>
      <c r="T61" s="279">
        <f>IFERROR(VLOOKUP(Table5[[#This Row],[HCPCS code 2017 Q3]], ASP2017Q3[], 4, FALSE), "")</f>
        <v>2.67</v>
      </c>
      <c r="U61" s="279">
        <f>IFERROR(Table5[[#This Row],[Payment Limit 2017Q3]]/Table5[[#This Row],[HCPCS code dosage 2017Q3]], "")</f>
        <v>0.26700000000000002</v>
      </c>
      <c r="V61" s="374" t="s">
        <v>1144</v>
      </c>
      <c r="W61" s="377">
        <v>10</v>
      </c>
      <c r="X61" s="142" t="s">
        <v>1470</v>
      </c>
      <c r="Y61" s="279">
        <v>3.1349999999999998</v>
      </c>
      <c r="Z61" s="370">
        <f>IFERROR(Table5[[#This Row],[Payment Limit 2018 Q1]]/Table5[[#This Row],[HCPCS code dosage 2018 Q1]],"")</f>
        <v>0.3135</v>
      </c>
      <c r="AA61" s="374" t="s">
        <v>1144</v>
      </c>
      <c r="AB61" s="381">
        <v>10</v>
      </c>
      <c r="AC61" s="142" t="s">
        <v>1470</v>
      </c>
      <c r="AD61" s="378">
        <v>3.0710000000000002</v>
      </c>
      <c r="AE61" s="370">
        <f>IFERROR(Table5[[#This Row],[Payment Limit 2018 Q3]]/Table5[[#This Row],[HCPCS code dosage 2018 Q3]],"")</f>
        <v>0.30710000000000004</v>
      </c>
      <c r="AF61" s="275" t="s">
        <v>1144</v>
      </c>
      <c r="AG61" s="122">
        <v>0.30630000000000002</v>
      </c>
      <c r="AH61" s="117" t="s">
        <v>1144</v>
      </c>
      <c r="AI61" s="118" t="s">
        <v>1664</v>
      </c>
      <c r="AJ61" s="118" t="s">
        <v>1470</v>
      </c>
      <c r="AK61" s="115">
        <f>IFERROR(VLOOKUP(Table5[[#This Row],[HCPCS code 2019Q3]], ASP2019Q3[], 4, FALSE), "")</f>
        <v>2.8940000000000001</v>
      </c>
      <c r="AL61" s="72">
        <f>IFERROR(Table5[[#This Row],[Payment Limit 2019Q3]]/Table5[[#This Row],[HCPCS code dosage 2019Q3]], "")</f>
        <v>0.28939999999999999</v>
      </c>
      <c r="AM61" s="130" t="s">
        <v>1144</v>
      </c>
      <c r="AN61" s="130" t="s">
        <v>1664</v>
      </c>
      <c r="AO61" s="130" t="s">
        <v>1470</v>
      </c>
      <c r="AP61" s="126">
        <f>IFERROR(VLOOKUP(Table5[[#This Row],[HCPCS code 2020Q1]], ASP2020Q1[], 4, FALSE), "")</f>
        <v>2.867</v>
      </c>
      <c r="AQ61" s="77">
        <f>IFERROR(Table5[[#This Row],[Payment Limit 2020Q1]]/Table5[[#This Row],[HCPCS code dosage 2020Q1]], "")</f>
        <v>0.28670000000000001</v>
      </c>
      <c r="AR61" s="133" t="s">
        <v>1144</v>
      </c>
      <c r="AS61" s="130" t="s">
        <v>1664</v>
      </c>
      <c r="AT61" s="130" t="s">
        <v>1470</v>
      </c>
      <c r="AU61" s="132">
        <f>IFERROR(VLOOKUP(Table5[[#This Row],[HCPCS code 2020Q3]], ASP2020Q3[], 4, FALSE), "")</f>
        <v>2.931</v>
      </c>
      <c r="AV61" s="72">
        <f>IFERROR(Table5[[#This Row],[Payment limit 2020Q3]]/Table5[[#This Row],[HCPCS code dosage 2020Q3]],"")</f>
        <v>0.29310000000000003</v>
      </c>
      <c r="AW61" s="144" t="s">
        <v>1144</v>
      </c>
      <c r="AX61" s="118" t="s">
        <v>1664</v>
      </c>
      <c r="AY61" s="144" t="s">
        <v>1470</v>
      </c>
      <c r="AZ61" s="144">
        <f>IFERROR(VLOOKUP(Table5[[#This Row],[HCPCS code 2021Q1]], ASP2021Q1[], 4, FALSE), "")</f>
        <v>2.5</v>
      </c>
      <c r="BA61" s="122">
        <f>IFERROR(Table5[[#This Row],[Payment limit 2021Q1]]/Table5[[#This Row],[HCPCS code dosage 2021Q1]], "")</f>
        <v>0.25</v>
      </c>
      <c r="BB61" s="147" t="s">
        <v>1144</v>
      </c>
      <c r="BC61" s="118" t="s">
        <v>1664</v>
      </c>
      <c r="BD61" s="144" t="s">
        <v>1470</v>
      </c>
      <c r="BE61" s="144">
        <f>IFERROR(VLOOKUP(Table5[[#This Row],[HCPCS code 2021Q3]], ASP2021Q3[], 4, FALSE), "")</f>
        <v>2.5659999999999998</v>
      </c>
      <c r="BF61" s="122">
        <f>IFERROR(Table5[[#This Row],[Payment limit 2021Q3]]/Table5[[#This Row],[HCPCS code dosage 2021Q3]], "")</f>
        <v>0.25659999999999999</v>
      </c>
      <c r="BG61" s="147" t="s">
        <v>1144</v>
      </c>
      <c r="BH61" s="118" t="s">
        <v>1664</v>
      </c>
      <c r="BI61" s="144" t="s">
        <v>1470</v>
      </c>
      <c r="BJ61" s="144">
        <f>IFERROR(VLOOKUP(Table5[[#This Row],[HCPCS code 2022Q1]], ASP2022Q1[], 4, FALSE), "")</f>
        <v>3.484</v>
      </c>
      <c r="BK61" s="122">
        <f>IFERROR(Table5[[#This Row],[Payment limit 2022Q1]]/Table5[[#This Row],[HCPCS code dosage 2022Q1]], "")</f>
        <v>0.34839999999999999</v>
      </c>
      <c r="BL61" s="144" t="s">
        <v>1144</v>
      </c>
      <c r="BM61" s="184">
        <v>10</v>
      </c>
      <c r="BN61" s="144" t="s">
        <v>1470</v>
      </c>
      <c r="BO61" s="144">
        <f>IFERROR(VLOOKUP(Table5[[#This Row],[HCPCS Code 2022Q3]], ASP2022Q3[], 4, FALSE), "")</f>
        <v>2.5110000000000001</v>
      </c>
      <c r="BP61" s="122">
        <f>IFERROR(Table5[[#This Row],[Payment limit 2022Q3]]/Table5[[#This Row],[HCPCS code dosage 2022Q3]], "")</f>
        <v>0.25109999999999999</v>
      </c>
      <c r="BQ61" s="144" t="s">
        <v>1144</v>
      </c>
      <c r="BR61" s="118">
        <v>10</v>
      </c>
      <c r="BS61" s="144" t="s">
        <v>1470</v>
      </c>
      <c r="BT61" s="144">
        <v>2.3969999999999998</v>
      </c>
      <c r="BU61" s="144">
        <f>IFERROR(Table5[[#This Row],[Payment limit 2023Q1]]/Table5[[#This Row],[HCPCS code dosage 2023Q1]], "")</f>
        <v>0.23969999999999997</v>
      </c>
      <c r="BV61" s="79"/>
    </row>
    <row r="62" spans="1:74" x14ac:dyDescent="0.3">
      <c r="A62" s="62" t="s">
        <v>185</v>
      </c>
      <c r="B62" s="286" t="s">
        <v>1144</v>
      </c>
      <c r="C62" s="286">
        <v>10</v>
      </c>
      <c r="D62" s="307" t="s">
        <v>1470</v>
      </c>
      <c r="E62" s="292">
        <f>IFERROR(VLOOKUP(Table5[[#This Row],[HCPCS code 2016 Q1]], ASP2016Q1[], 4, FALSE), "")</f>
        <v>3.1019999999999999</v>
      </c>
      <c r="F62" s="303">
        <f>IFERROR(Table5[[#This Row],[Payment Limit 2016Q1]]/Table5[[#This Row],[HCPCS code dosage 2016Q1]], "")</f>
        <v>0.31019999999999998</v>
      </c>
      <c r="G62" s="286" t="s">
        <v>1144</v>
      </c>
      <c r="H62" s="286">
        <v>10</v>
      </c>
      <c r="I62" s="307" t="s">
        <v>1470</v>
      </c>
      <c r="J62" s="292">
        <f>IFERROR(VLOOKUP(Table5[[#This Row],[HCPCS code 2016 Q3]], ASP2016Q3[], 4, FALSE), "")</f>
        <v>2.64</v>
      </c>
      <c r="K62" s="303">
        <f>IFERROR(Table5[[#This Row],[Payment Limit 2016Q3]]/Table5[[#This Row],[HCPCS code dosage 2016Q3]], "")</f>
        <v>0.26400000000000001</v>
      </c>
      <c r="L62" s="286" t="s">
        <v>1144</v>
      </c>
      <c r="M62" s="286">
        <v>10</v>
      </c>
      <c r="N62" s="307" t="s">
        <v>1470</v>
      </c>
      <c r="O62" s="291">
        <f>IFERROR(VLOOKUP(Table5[[#This Row],[HCPCS code 2017 Q1]], ASP2017Q1[], 4, FALSE), "")</f>
        <v>2.415</v>
      </c>
      <c r="P62" s="302">
        <f>IFERROR(Table5[[#This Row],[Payment Limit 2017Q1]]/Table5[[#This Row],[HCPCS code dosage 2017Q1]], "")</f>
        <v>0.24149999999999999</v>
      </c>
      <c r="Q62" s="275" t="s">
        <v>1144</v>
      </c>
      <c r="R62" s="275">
        <v>10</v>
      </c>
      <c r="S62" s="275" t="s">
        <v>1470</v>
      </c>
      <c r="T62" s="279">
        <f>IFERROR(VLOOKUP(Table5[[#This Row],[HCPCS code 2017 Q3]], ASP2017Q3[], 4, FALSE), "")</f>
        <v>2.67</v>
      </c>
      <c r="U62" s="279">
        <f>IFERROR(Table5[[#This Row],[Payment Limit 2017Q3]]/Table5[[#This Row],[HCPCS code dosage 2017Q3]], "")</f>
        <v>0.26700000000000002</v>
      </c>
      <c r="V62" s="374" t="s">
        <v>1144</v>
      </c>
      <c r="W62" s="377">
        <v>10</v>
      </c>
      <c r="X62" s="142" t="s">
        <v>1470</v>
      </c>
      <c r="Y62" s="279">
        <v>3.1349999999999998</v>
      </c>
      <c r="Z62" s="370">
        <f>IFERROR(Table5[[#This Row],[Payment Limit 2018 Q1]]/Table5[[#This Row],[HCPCS code dosage 2018 Q1]],"")</f>
        <v>0.3135</v>
      </c>
      <c r="AA62" s="374" t="s">
        <v>1144</v>
      </c>
      <c r="AB62" s="381">
        <v>10</v>
      </c>
      <c r="AC62" s="142" t="s">
        <v>1470</v>
      </c>
      <c r="AD62" s="378">
        <v>3.0710000000000002</v>
      </c>
      <c r="AE62" s="370">
        <f>IFERROR(Table5[[#This Row],[Payment Limit 2018 Q3]]/Table5[[#This Row],[HCPCS code dosage 2018 Q3]],"")</f>
        <v>0.30710000000000004</v>
      </c>
      <c r="AF62" s="275" t="s">
        <v>1144</v>
      </c>
      <c r="AG62" s="122">
        <v>0.30630000000000002</v>
      </c>
      <c r="AH62" s="117" t="s">
        <v>1144</v>
      </c>
      <c r="AI62" s="118" t="s">
        <v>1664</v>
      </c>
      <c r="AJ62" s="118" t="s">
        <v>1470</v>
      </c>
      <c r="AK62" s="115">
        <f>IFERROR(VLOOKUP(Table5[[#This Row],[HCPCS code 2019Q3]], ASP2019Q3[], 4, FALSE), "")</f>
        <v>2.8940000000000001</v>
      </c>
      <c r="AL62" s="72">
        <f>IFERROR(Table5[[#This Row],[Payment Limit 2019Q3]]/Table5[[#This Row],[HCPCS code dosage 2019Q3]], "")</f>
        <v>0.28939999999999999</v>
      </c>
      <c r="AM62" s="130" t="s">
        <v>1144</v>
      </c>
      <c r="AN62" s="130" t="s">
        <v>1664</v>
      </c>
      <c r="AO62" s="130" t="s">
        <v>1470</v>
      </c>
      <c r="AP62" s="126">
        <f>IFERROR(VLOOKUP(Table5[[#This Row],[HCPCS code 2020Q1]], ASP2020Q1[], 4, FALSE), "")</f>
        <v>2.867</v>
      </c>
      <c r="AQ62" s="77">
        <f>IFERROR(Table5[[#This Row],[Payment Limit 2020Q1]]/Table5[[#This Row],[HCPCS code dosage 2020Q1]], "")</f>
        <v>0.28670000000000001</v>
      </c>
      <c r="AR62" s="133" t="s">
        <v>1144</v>
      </c>
      <c r="AS62" s="130" t="s">
        <v>1664</v>
      </c>
      <c r="AT62" s="130" t="s">
        <v>1470</v>
      </c>
      <c r="AU62" s="132">
        <f>IFERROR(VLOOKUP(Table5[[#This Row],[HCPCS code 2020Q3]], ASP2020Q3[], 4, FALSE), "")</f>
        <v>2.931</v>
      </c>
      <c r="AV62" s="72">
        <f>IFERROR(Table5[[#This Row],[Payment limit 2020Q3]]/Table5[[#This Row],[HCPCS code dosage 2020Q3]],"")</f>
        <v>0.29310000000000003</v>
      </c>
      <c r="AW62" s="144" t="s">
        <v>1144</v>
      </c>
      <c r="AX62" s="118" t="s">
        <v>1664</v>
      </c>
      <c r="AY62" s="144" t="s">
        <v>1470</v>
      </c>
      <c r="AZ62" s="144">
        <f>IFERROR(VLOOKUP(Table5[[#This Row],[HCPCS code 2021Q1]], ASP2021Q1[], 4, FALSE), "")</f>
        <v>2.5</v>
      </c>
      <c r="BA62" s="122">
        <f>IFERROR(Table5[[#This Row],[Payment limit 2021Q1]]/Table5[[#This Row],[HCPCS code dosage 2021Q1]], "")</f>
        <v>0.25</v>
      </c>
      <c r="BB62" s="147" t="s">
        <v>1144</v>
      </c>
      <c r="BC62" s="118" t="s">
        <v>1664</v>
      </c>
      <c r="BD62" s="144" t="s">
        <v>1470</v>
      </c>
      <c r="BE62" s="144">
        <f>IFERROR(VLOOKUP(Table5[[#This Row],[HCPCS code 2021Q3]], ASP2021Q3[], 4, FALSE), "")</f>
        <v>2.5659999999999998</v>
      </c>
      <c r="BF62" s="122">
        <f>IFERROR(Table5[[#This Row],[Payment limit 2021Q3]]/Table5[[#This Row],[HCPCS code dosage 2021Q3]], "")</f>
        <v>0.25659999999999999</v>
      </c>
      <c r="BG62" s="147" t="s">
        <v>1144</v>
      </c>
      <c r="BH62" s="118" t="s">
        <v>1664</v>
      </c>
      <c r="BI62" s="144" t="s">
        <v>1470</v>
      </c>
      <c r="BJ62" s="144">
        <f>IFERROR(VLOOKUP(Table5[[#This Row],[HCPCS code 2022Q1]], ASP2022Q1[], 4, FALSE), "")</f>
        <v>3.484</v>
      </c>
      <c r="BK62" s="122">
        <f>IFERROR(Table5[[#This Row],[Payment limit 2022Q1]]/Table5[[#This Row],[HCPCS code dosage 2022Q1]], "")</f>
        <v>0.34839999999999999</v>
      </c>
      <c r="BL62" s="144" t="s">
        <v>1144</v>
      </c>
      <c r="BM62" s="184">
        <v>10</v>
      </c>
      <c r="BN62" s="144" t="s">
        <v>1470</v>
      </c>
      <c r="BO62" s="144">
        <f>IFERROR(VLOOKUP(Table5[[#This Row],[HCPCS Code 2022Q3]], ASP2022Q3[], 4, FALSE), "")</f>
        <v>2.5110000000000001</v>
      </c>
      <c r="BP62" s="122">
        <f>IFERROR(Table5[[#This Row],[Payment limit 2022Q3]]/Table5[[#This Row],[HCPCS code dosage 2022Q3]], "")</f>
        <v>0.25109999999999999</v>
      </c>
      <c r="BQ62" s="144" t="s">
        <v>1144</v>
      </c>
      <c r="BR62" s="118">
        <v>10</v>
      </c>
      <c r="BS62" s="144" t="s">
        <v>1470</v>
      </c>
      <c r="BT62" s="144">
        <v>2.3969999999999998</v>
      </c>
      <c r="BU62" s="144">
        <f>IFERROR(Table5[[#This Row],[Payment limit 2023Q1]]/Table5[[#This Row],[HCPCS code dosage 2023Q1]], "")</f>
        <v>0.23969999999999997</v>
      </c>
      <c r="BV62" s="79"/>
    </row>
    <row r="63" spans="1:74" x14ac:dyDescent="0.3">
      <c r="A63" s="62" t="s">
        <v>46</v>
      </c>
      <c r="B63" s="286"/>
      <c r="C63" s="286"/>
      <c r="D63" s="307"/>
      <c r="E63" s="292" t="str">
        <f>IFERROR(VLOOKUP(Table5[[#This Row],[HCPCS code 2016 Q1]], ASP2016Q1[], 4, FALSE), "")</f>
        <v/>
      </c>
      <c r="F63" s="303" t="str">
        <f>IFERROR(Table5[[#This Row],[Payment Limit 2016Q1]]/Table5[[#This Row],[HCPCS code dosage 2016Q1]], "")</f>
        <v/>
      </c>
      <c r="G63" s="286"/>
      <c r="H63" s="286"/>
      <c r="I63" s="307"/>
      <c r="J63" s="292" t="str">
        <f>IFERROR(VLOOKUP(Table5[[#This Row],[HCPCS code 2016 Q3]], ASP2016Q3[], 4, FALSE), "")</f>
        <v/>
      </c>
      <c r="K63" s="303" t="str">
        <f>IFERROR(Table5[[#This Row],[Payment Limit 2016Q3]]/Table5[[#This Row],[HCPCS code dosage 2016Q3]], "")</f>
        <v/>
      </c>
      <c r="L63" s="286"/>
      <c r="M63" s="286"/>
      <c r="N63" s="307"/>
      <c r="O63" s="291" t="str">
        <f>IFERROR(VLOOKUP(Table5[[#This Row],[HCPCS code 2017 Q1]], ASP2017Q1[], 4, FALSE), "")</f>
        <v/>
      </c>
      <c r="P63" s="302" t="str">
        <f>IFERROR(Table5[[#This Row],[Payment Limit 2017Q1]]/Table5[[#This Row],[HCPCS code dosage 2017Q1]], "")</f>
        <v/>
      </c>
      <c r="Q63" s="416"/>
      <c r="R63" s="416"/>
      <c r="S63" s="416"/>
      <c r="T63" s="279" t="str">
        <f>IFERROR(VLOOKUP(Table5[[#This Row],[HCPCS code 2017 Q3]], ASP2017Q3[], 4, FALSE), "")</f>
        <v/>
      </c>
      <c r="U63" s="279" t="str">
        <f>IFERROR(Table5[[#This Row],[Payment Limit 2017Q3]]/Table5[[#This Row],[HCPCS code dosage 2017Q3]], "")</f>
        <v/>
      </c>
      <c r="V63" s="374"/>
      <c r="W63" s="510"/>
      <c r="X63" s="416"/>
      <c r="Y63" s="280"/>
      <c r="Z63" s="370"/>
      <c r="AA63" s="512" t="s">
        <v>1214</v>
      </c>
      <c r="AB63" s="275">
        <v>10</v>
      </c>
      <c r="AC63" s="275" t="s">
        <v>1470</v>
      </c>
      <c r="AD63" s="513">
        <v>74.855999999999995</v>
      </c>
      <c r="AE63" s="370">
        <f>IFERROR(Table5[[#This Row],[Payment Limit 2018 Q3]]/Table5[[#This Row],[HCPCS code dosage 2018 Q3]], "")</f>
        <v>7.4855999999999998</v>
      </c>
      <c r="AF63" s="275" t="s">
        <v>1214</v>
      </c>
      <c r="AG63" s="122">
        <f>IFERROR(Table5[[#This Row],[Payment Limit 2019Q3]]/Table5[[#This Row],[HCPCS code dosage 2019Q3]], "")</f>
        <v>7.4855999999999998</v>
      </c>
      <c r="AH63" s="117" t="s">
        <v>1214</v>
      </c>
      <c r="AI63" s="118" t="s">
        <v>1664</v>
      </c>
      <c r="AJ63" s="118" t="s">
        <v>1470</v>
      </c>
      <c r="AK63" s="115">
        <f>IFERROR(VLOOKUP(Table5[[#This Row],[HCPCS code 2019Q3]], ASP2019Q3[], 4, FALSE), "")</f>
        <v>74.855999999999995</v>
      </c>
      <c r="AL63" s="72">
        <f>IFERROR(Table5[[#This Row],[Payment Limit 2019Q3]]/Table5[[#This Row],[HCPCS code dosage 2019Q3]], "")</f>
        <v>7.4855999999999998</v>
      </c>
      <c r="AM63" s="130" t="s">
        <v>1214</v>
      </c>
      <c r="AN63" s="130" t="s">
        <v>1664</v>
      </c>
      <c r="AO63" s="130" t="s">
        <v>1470</v>
      </c>
      <c r="AP63" s="126">
        <f>IFERROR(VLOOKUP(Table5[[#This Row],[HCPCS code 2020Q1]], ASP2020Q1[], 4, FALSE), "")</f>
        <v>75.58</v>
      </c>
      <c r="AQ63" s="77">
        <f>IFERROR(Table5[[#This Row],[Payment Limit 2020Q1]]/Table5[[#This Row],[HCPCS code dosage 2020Q1]], "")</f>
        <v>7.5579999999999998</v>
      </c>
      <c r="AR63" s="133" t="s">
        <v>1214</v>
      </c>
      <c r="AS63" s="130" t="s">
        <v>1664</v>
      </c>
      <c r="AT63" s="130" t="s">
        <v>1470</v>
      </c>
      <c r="AU63" s="132">
        <f>IFERROR(VLOOKUP(Table5[[#This Row],[HCPCS code 2020Q3]], ASP2020Q3[], 4, FALSE), "")</f>
        <v>76.179000000000002</v>
      </c>
      <c r="AV63" s="72">
        <f>IFERROR(Table5[[#This Row],[Payment limit 2020Q3]]/Table5[[#This Row],[HCPCS code dosage 2020Q3]],"")</f>
        <v>7.6179000000000006</v>
      </c>
      <c r="AW63" s="144" t="s">
        <v>1214</v>
      </c>
      <c r="AX63" s="118" t="s">
        <v>1664</v>
      </c>
      <c r="AY63" s="144" t="s">
        <v>1470</v>
      </c>
      <c r="AZ63" s="144">
        <f>IFERROR(VLOOKUP(Table5[[#This Row],[HCPCS code 2021Q1]], ASP2021Q1[], 4, FALSE), "")</f>
        <v>77.052000000000007</v>
      </c>
      <c r="BA63" s="122">
        <f>IFERROR(Table5[[#This Row],[Payment limit 2021Q1]]/Table5[[#This Row],[HCPCS code dosage 2021Q1]], "")</f>
        <v>7.7052000000000005</v>
      </c>
      <c r="BB63" s="147" t="s">
        <v>1214</v>
      </c>
      <c r="BC63" s="118" t="s">
        <v>1664</v>
      </c>
      <c r="BD63" s="144" t="s">
        <v>1470</v>
      </c>
      <c r="BE63" s="144">
        <f>IFERROR(VLOOKUP(Table5[[#This Row],[HCPCS code 2021Q3]], ASP2021Q3[], 4, FALSE), "")</f>
        <v>76.756</v>
      </c>
      <c r="BF63" s="122">
        <f>IFERROR(Table5[[#This Row],[Payment limit 2021Q3]]/Table5[[#This Row],[HCPCS code dosage 2021Q3]], "")</f>
        <v>7.6756000000000002</v>
      </c>
      <c r="BG63" s="147" t="s">
        <v>1214</v>
      </c>
      <c r="BH63" s="118" t="s">
        <v>1664</v>
      </c>
      <c r="BI63" s="144" t="s">
        <v>1470</v>
      </c>
      <c r="BJ63" s="144">
        <f>IFERROR(VLOOKUP(Table5[[#This Row],[HCPCS code 2022Q1]], ASP2022Q1[], 4, FALSE), "")</f>
        <v>76.858999999999995</v>
      </c>
      <c r="BK63" s="122">
        <f>IFERROR(Table5[[#This Row],[Payment limit 2022Q1]]/Table5[[#This Row],[HCPCS code dosage 2022Q1]], "")</f>
        <v>7.6858999999999993</v>
      </c>
      <c r="BL63" s="144" t="s">
        <v>1214</v>
      </c>
      <c r="BM63" s="184">
        <v>10</v>
      </c>
      <c r="BN63" s="144" t="s">
        <v>1470</v>
      </c>
      <c r="BO63" s="144">
        <f>IFERROR(VLOOKUP(Table5[[#This Row],[HCPCS Code 2022Q3]], ASP2022Q3[], 4, FALSE), "")</f>
        <v>78.2</v>
      </c>
      <c r="BP63" s="122">
        <f>IFERROR(Table5[[#This Row],[Payment limit 2022Q3]]/Table5[[#This Row],[HCPCS code dosage 2022Q3]], "")</f>
        <v>7.82</v>
      </c>
      <c r="BQ63" s="144" t="s">
        <v>1214</v>
      </c>
      <c r="BR63" s="118">
        <v>10</v>
      </c>
      <c r="BS63" s="144" t="s">
        <v>1470</v>
      </c>
      <c r="BT63" s="144">
        <v>78.903000000000006</v>
      </c>
      <c r="BU63" s="144">
        <f>IFERROR(Table5[[#This Row],[Payment limit 2023Q1]]/Table5[[#This Row],[HCPCS code dosage 2023Q1]], "")</f>
        <v>7.8903000000000008</v>
      </c>
      <c r="BV63" s="79" t="s">
        <v>1471</v>
      </c>
    </row>
    <row r="64" spans="1:74" x14ac:dyDescent="0.3">
      <c r="A64" s="62" t="s">
        <v>125</v>
      </c>
      <c r="B64" s="286" t="s">
        <v>1216</v>
      </c>
      <c r="C64" s="286">
        <v>1</v>
      </c>
      <c r="D64" s="307" t="s">
        <v>1470</v>
      </c>
      <c r="E64" s="291">
        <f>IFERROR(VLOOKUP(Table5[[#This Row],[HCPCS code 2017 Q1]], ASP2017Q1[], 4, FALSE), "")</f>
        <v>6.2249999999999996</v>
      </c>
      <c r="F64" s="303">
        <f>IFERROR(Table5[[#This Row],[Payment Limit 2016Q1]]/Table5[[#This Row],[HCPCS code dosage 2016Q1]], "")</f>
        <v>6.2249999999999996</v>
      </c>
      <c r="G64" s="286" t="s">
        <v>1216</v>
      </c>
      <c r="H64" s="286">
        <v>1</v>
      </c>
      <c r="I64" s="307" t="s">
        <v>1470</v>
      </c>
      <c r="J64" s="291">
        <f>IFERROR(VLOOKUP(Table5[[#This Row],[HCPCS code 2017 Q1]], ASP2017Q1[], 4, FALSE), "")</f>
        <v>6.2249999999999996</v>
      </c>
      <c r="K64" s="303">
        <f>IFERROR(Table5[[#This Row],[Payment Limit 2016Q3]]/Table5[[#This Row],[HCPCS code dosage 2016Q3]], "")</f>
        <v>6.2249999999999996</v>
      </c>
      <c r="L64" s="286" t="s">
        <v>1216</v>
      </c>
      <c r="M64" s="286">
        <v>1</v>
      </c>
      <c r="N64" s="307" t="s">
        <v>1470</v>
      </c>
      <c r="O64" s="291">
        <f>IFERROR(VLOOKUP(Table5[[#This Row],[HCPCS code 2017 Q1]], ASP2017Q1[], 4, FALSE), "")</f>
        <v>6.2249999999999996</v>
      </c>
      <c r="P64" s="302">
        <f>IFERROR(Table5[[#This Row],[Payment Limit 2017Q1]]/Table5[[#This Row],[HCPCS code dosage 2017Q1]], "")</f>
        <v>6.2249999999999996</v>
      </c>
      <c r="Q64" s="275" t="s">
        <v>1216</v>
      </c>
      <c r="R64" s="275">
        <v>1</v>
      </c>
      <c r="S64" s="275" t="s">
        <v>1470</v>
      </c>
      <c r="T64" s="279">
        <f>IFERROR(VLOOKUP(Table5[[#This Row],[HCPCS code 2017 Q3]], ASP2017Q3[], 4, FALSE), "")</f>
        <v>6.2809999999999997</v>
      </c>
      <c r="U64" s="279">
        <f>IFERROR(Table5[[#This Row],[Payment Limit 2017Q3]]/Table5[[#This Row],[HCPCS code dosage 2017Q3]], "")</f>
        <v>6.2809999999999997</v>
      </c>
      <c r="V64" s="374" t="s">
        <v>1216</v>
      </c>
      <c r="W64" s="377">
        <v>1</v>
      </c>
      <c r="X64" s="142" t="s">
        <v>1470</v>
      </c>
      <c r="Y64" s="279">
        <v>6.3460000000000001</v>
      </c>
      <c r="Z64" s="370">
        <f>IFERROR(Table5[[#This Row],[Payment Limit 2018 Q1]]/Table5[[#This Row],[HCPCS code dosage 2018 Q1]],"")</f>
        <v>6.3460000000000001</v>
      </c>
      <c r="AA64" s="374" t="s">
        <v>1216</v>
      </c>
      <c r="AB64" s="381">
        <v>1</v>
      </c>
      <c r="AC64" s="142" t="s">
        <v>1470</v>
      </c>
      <c r="AD64" s="378">
        <v>6.4189999999999996</v>
      </c>
      <c r="AE64" s="370">
        <f>IFERROR(Table5[[#This Row],[Payment Limit 2018 Q3]]/Table5[[#This Row],[HCPCS code dosage 2018 Q3]],"")</f>
        <v>6.4189999999999996</v>
      </c>
      <c r="AF64" s="275" t="s">
        <v>1216</v>
      </c>
      <c r="AG64" s="122">
        <v>6.4039999999999999</v>
      </c>
      <c r="AH64" s="117" t="s">
        <v>1216</v>
      </c>
      <c r="AI64" s="118" t="s">
        <v>1665</v>
      </c>
      <c r="AJ64" s="118" t="s">
        <v>1470</v>
      </c>
      <c r="AK64" s="115">
        <f>IFERROR(VLOOKUP(Table5[[#This Row],[HCPCS code 2019Q3]], ASP2019Q3[], 4, FALSE), "")</f>
        <v>6.4909999999999997</v>
      </c>
      <c r="AL64" s="72">
        <f>IFERROR(Table5[[#This Row],[Payment Limit 2019Q3]]/Table5[[#This Row],[HCPCS code dosage 2019Q3]], "")</f>
        <v>6.4909999999999997</v>
      </c>
      <c r="AM64" s="130" t="s">
        <v>1216</v>
      </c>
      <c r="AN64" s="130" t="s">
        <v>1665</v>
      </c>
      <c r="AO64" s="130" t="s">
        <v>1470</v>
      </c>
      <c r="AP64" s="126">
        <f>IFERROR(VLOOKUP(Table5[[#This Row],[HCPCS code 2020Q1]], ASP2020Q1[], 4, FALSE), "")</f>
        <v>6.5819999999999999</v>
      </c>
      <c r="AQ64" s="77">
        <f>IFERROR(Table5[[#This Row],[Payment Limit 2020Q1]]/Table5[[#This Row],[HCPCS code dosage 2020Q1]], "")</f>
        <v>6.5819999999999999</v>
      </c>
      <c r="AR64" s="133" t="s">
        <v>1216</v>
      </c>
      <c r="AS64" s="130" t="s">
        <v>1665</v>
      </c>
      <c r="AT64" s="130" t="s">
        <v>1470</v>
      </c>
      <c r="AU64" s="132">
        <f>IFERROR(VLOOKUP(Table5[[#This Row],[HCPCS code 2020Q3]], ASP2020Q3[], 4, FALSE), "")</f>
        <v>6.6710000000000003</v>
      </c>
      <c r="AV64" s="72">
        <f>IFERROR(Table5[[#This Row],[Payment limit 2020Q3]]/Table5[[#This Row],[HCPCS code dosage 2020Q3]],"")</f>
        <v>6.6710000000000003</v>
      </c>
      <c r="AW64" s="144" t="s">
        <v>1216</v>
      </c>
      <c r="AX64" s="118" t="s">
        <v>1665</v>
      </c>
      <c r="AY64" s="144" t="s">
        <v>1470</v>
      </c>
      <c r="AZ64" s="144">
        <f>IFERROR(VLOOKUP(Table5[[#This Row],[HCPCS code 2021Q1]], ASP2021Q1[], 4, FALSE), "")</f>
        <v>6.673</v>
      </c>
      <c r="BA64" s="122">
        <f>IFERROR(Table5[[#This Row],[Payment limit 2021Q1]]/Table5[[#This Row],[HCPCS code dosage 2021Q1]], "")</f>
        <v>6.673</v>
      </c>
      <c r="BB64" s="147" t="s">
        <v>1216</v>
      </c>
      <c r="BC64" s="118" t="s">
        <v>1665</v>
      </c>
      <c r="BD64" s="144" t="s">
        <v>1470</v>
      </c>
      <c r="BE64" s="144">
        <f>IFERROR(VLOOKUP(Table5[[#This Row],[HCPCS code 2021Q3]], ASP2021Q3[], 4, FALSE), "")</f>
        <v>6.7720000000000002</v>
      </c>
      <c r="BF64" s="122">
        <f>IFERROR(Table5[[#This Row],[Payment limit 2021Q3]]/Table5[[#This Row],[HCPCS code dosage 2021Q3]], "")</f>
        <v>6.7720000000000002</v>
      </c>
      <c r="BG64" s="147" t="s">
        <v>1216</v>
      </c>
      <c r="BH64" s="118" t="s">
        <v>1665</v>
      </c>
      <c r="BI64" s="144" t="s">
        <v>1470</v>
      </c>
      <c r="BJ64" s="144">
        <f>IFERROR(VLOOKUP(Table5[[#This Row],[HCPCS code 2022Q1]], ASP2022Q1[], 4, FALSE), "")</f>
        <v>6.86</v>
      </c>
      <c r="BK64" s="122">
        <f>IFERROR(Table5[[#This Row],[Payment limit 2022Q1]]/Table5[[#This Row],[HCPCS code dosage 2022Q1]], "")</f>
        <v>6.86</v>
      </c>
      <c r="BL64" s="144" t="s">
        <v>1216</v>
      </c>
      <c r="BM64" s="184">
        <v>1</v>
      </c>
      <c r="BN64" s="144" t="s">
        <v>1470</v>
      </c>
      <c r="BO64" s="144">
        <f>IFERROR(VLOOKUP(Table5[[#This Row],[HCPCS Code 2022Q3]], ASP2022Q3[], 4, FALSE), "")</f>
        <v>6.9539999999999997</v>
      </c>
      <c r="BP64" s="122">
        <f>IFERROR(Table5[[#This Row],[Payment limit 2022Q3]]/Table5[[#This Row],[HCPCS code dosage 2022Q3]], "")</f>
        <v>6.9539999999999997</v>
      </c>
      <c r="BQ64" s="144" t="s">
        <v>1216</v>
      </c>
      <c r="BR64" s="118">
        <v>1</v>
      </c>
      <c r="BS64" s="144" t="s">
        <v>1470</v>
      </c>
      <c r="BT64" s="144">
        <v>7.0609999999999999</v>
      </c>
      <c r="BU64" s="144">
        <f>IFERROR(Table5[[#This Row],[Payment limit 2023Q1]]/Table5[[#This Row],[HCPCS code dosage 2023Q1]], "")</f>
        <v>7.0609999999999999</v>
      </c>
      <c r="BV64" s="79"/>
    </row>
    <row r="65" spans="1:74" x14ac:dyDescent="0.3">
      <c r="A65" s="69" t="s">
        <v>1654</v>
      </c>
      <c r="B65" s="273"/>
      <c r="C65" s="273"/>
      <c r="D65" s="275"/>
      <c r="E65" s="280" t="str">
        <f>IFERROR(VLOOKUP(Table5[[#This Row],[HCPCS code 2016 Q1]], ASP2016Q1[], 4, FALSE), "")</f>
        <v/>
      </c>
      <c r="F65" s="305" t="str">
        <f>IFERROR(Table5[[#This Row],[Payment Limit 2016Q1]]/Table5[[#This Row],[HCPCS code dosage 2016Q1]], "")</f>
        <v/>
      </c>
      <c r="G65" s="273"/>
      <c r="H65" s="273"/>
      <c r="I65" s="275"/>
      <c r="J65" s="280" t="str">
        <f>IFERROR(VLOOKUP(Table5[[#This Row],[HCPCS code 2016 Q3]], ASP2016Q3[], 4, FALSE), "")</f>
        <v/>
      </c>
      <c r="K65" s="305" t="str">
        <f>IFERROR(Table5[[#This Row],[Payment Limit 2016Q3]]/Table5[[#This Row],[HCPCS code dosage 2016Q3]], "")</f>
        <v/>
      </c>
      <c r="L65" s="273"/>
      <c r="M65" s="273"/>
      <c r="N65" s="275"/>
      <c r="O65" s="291" t="str">
        <f>IFERROR(VLOOKUP(Table5[[#This Row],[HCPCS code 2017 Q1]], ASP2017Q1[], 4, FALSE), "")</f>
        <v/>
      </c>
      <c r="P65" s="302" t="str">
        <f>IFERROR(Table5[[#This Row],[Payment Limit 2017Q1]]/Table5[[#This Row],[HCPCS code dosage 2017Q1]], "")</f>
        <v/>
      </c>
      <c r="Q65" s="275" t="s">
        <v>1631</v>
      </c>
      <c r="R65" s="275" t="s">
        <v>2434</v>
      </c>
      <c r="S65" s="275"/>
      <c r="T65" s="279" t="str">
        <f>IFERROR(VLOOKUP(Table5[[#This Row],[HCPCS code 2017 Q3]], ASP2017Q3[], 4, FALSE), "")</f>
        <v/>
      </c>
      <c r="U65" s="279" t="str">
        <f>IFERROR(Table5[[#This Row],[Payment Limit 2017Q3]]/Table5[[#This Row],[HCPCS code dosage 2017Q3]], "")</f>
        <v/>
      </c>
      <c r="V65" s="374"/>
      <c r="W65" s="377"/>
      <c r="X65" s="142"/>
      <c r="Y65" s="279"/>
      <c r="Z65" s="370"/>
      <c r="AA65" s="374"/>
      <c r="AB65" s="381"/>
      <c r="AC65" s="142"/>
      <c r="AD65" s="378"/>
      <c r="AE65" s="370"/>
      <c r="AF65" s="275" t="s">
        <v>1631</v>
      </c>
      <c r="AG65" s="122"/>
      <c r="AH65" s="117" t="s">
        <v>1631</v>
      </c>
      <c r="AI65" s="118">
        <v>0.25</v>
      </c>
      <c r="AJ65" s="118" t="s">
        <v>1470</v>
      </c>
      <c r="AK65" s="115" t="str">
        <f>IFERROR(VLOOKUP(Table5[[#This Row],[HCPCS code 2019Q3]], ASP2019Q3[], 4, FALSE), "")</f>
        <v/>
      </c>
      <c r="AL65" s="72" t="str">
        <f>IFERROR(Table5[[#This Row],[Payment Limit 2019Q3]]/Table5[[#This Row],[HCPCS code dosage 2019Q3]], "")</f>
        <v/>
      </c>
      <c r="AM65" s="130" t="s">
        <v>1631</v>
      </c>
      <c r="AN65" s="130">
        <v>0.25</v>
      </c>
      <c r="AO65" s="130" t="s">
        <v>1470</v>
      </c>
      <c r="AP65" s="126" t="str">
        <f>IFERROR(VLOOKUP(Table5[[#This Row],[HCPCS code 2020Q1]], ASP2020Q1[], 4, FALSE), "")</f>
        <v/>
      </c>
      <c r="AQ65" s="77" t="str">
        <f>IFERROR(Table5[[#This Row],[Payment Limit 2020Q1]]/Table5[[#This Row],[HCPCS code dosage 2020Q1]], "")</f>
        <v/>
      </c>
      <c r="AR65" s="133" t="s">
        <v>1631</v>
      </c>
      <c r="AS65" s="130">
        <v>0.25</v>
      </c>
      <c r="AT65" s="130" t="s">
        <v>1470</v>
      </c>
      <c r="AU65" s="132">
        <f>IFERROR(VLOOKUP(Table5[[#This Row],[HCPCS code 2020Q3]], ASP2020Q3[], 4, FALSE), "")</f>
        <v>27.957999999999998</v>
      </c>
      <c r="AV65" s="72">
        <f>IFERROR(Table5[[#This Row],[Payment limit 2020Q3]]/Table5[[#This Row],[HCPCS code dosage 2020Q3]],"")</f>
        <v>111.83199999999999</v>
      </c>
      <c r="AW65" s="144" t="s">
        <v>1631</v>
      </c>
      <c r="AX65" s="118">
        <v>0.25</v>
      </c>
      <c r="AY65" s="144" t="s">
        <v>1470</v>
      </c>
      <c r="AZ65" s="144">
        <f>IFERROR(VLOOKUP(Table5[[#This Row],[HCPCS code 2021Q1]], ASP2021Q1[], 4, FALSE), "")</f>
        <v>27.957999999999998</v>
      </c>
      <c r="BA65" s="122">
        <f>IFERROR(Table5[[#This Row],[Payment limit 2021Q1]]/Table5[[#This Row],[HCPCS code dosage 2021Q1]], "")</f>
        <v>111.83199999999999</v>
      </c>
      <c r="BB65" s="147" t="s">
        <v>1631</v>
      </c>
      <c r="BC65" s="118">
        <v>0.25</v>
      </c>
      <c r="BD65" s="144" t="s">
        <v>1470</v>
      </c>
      <c r="BE65" s="144">
        <f>IFERROR(VLOOKUP(Table5[[#This Row],[HCPCS code 2021Q3]], ASP2021Q3[], 4, FALSE), "")</f>
        <v>29.062999999999999</v>
      </c>
      <c r="BF65" s="122">
        <f>IFERROR(Table5[[#This Row],[Payment limit 2021Q3]]/Table5[[#This Row],[HCPCS code dosage 2021Q3]], "")</f>
        <v>116.252</v>
      </c>
      <c r="BG65" s="147" t="s">
        <v>1631</v>
      </c>
      <c r="BH65" s="118">
        <v>0.25</v>
      </c>
      <c r="BI65" s="144" t="s">
        <v>1470</v>
      </c>
      <c r="BJ65" s="144">
        <f>IFERROR(VLOOKUP(Table5[[#This Row],[HCPCS code 2022Q1]], ASP2022Q1[], 4, FALSE), "")</f>
        <v>30.186</v>
      </c>
      <c r="BK65" s="122">
        <f>IFERROR(Table5[[#This Row],[Payment limit 2022Q1]]/Table5[[#This Row],[HCPCS code dosage 2022Q1]], "")</f>
        <v>120.744</v>
      </c>
      <c r="BL65" s="144" t="s">
        <v>1631</v>
      </c>
      <c r="BM65" s="184">
        <v>0.25</v>
      </c>
      <c r="BN65" s="144" t="s">
        <v>1470</v>
      </c>
      <c r="BO65" s="144">
        <f>IFERROR(VLOOKUP(Table5[[#This Row],[HCPCS Code 2022Q3]], ASP2022Q3[], 4, FALSE), "")</f>
        <v>31.356000000000002</v>
      </c>
      <c r="BP65" s="122">
        <f>IFERROR(Table5[[#This Row],[Payment limit 2022Q3]]/Table5[[#This Row],[HCPCS code dosage 2022Q3]], "")</f>
        <v>125.42400000000001</v>
      </c>
      <c r="BQ65" s="144" t="s">
        <v>1631</v>
      </c>
      <c r="BR65" s="118">
        <v>0.25</v>
      </c>
      <c r="BS65" s="144" t="s">
        <v>1470</v>
      </c>
      <c r="BT65" s="144">
        <v>32.57</v>
      </c>
      <c r="BU65" s="144">
        <f>IFERROR(Table5[[#This Row],[Payment limit 2023Q1]]/Table5[[#This Row],[HCPCS code dosage 2023Q1]], "")</f>
        <v>130.28</v>
      </c>
      <c r="BV65" s="79"/>
    </row>
    <row r="66" spans="1:74" x14ac:dyDescent="0.3">
      <c r="A66" s="194" t="s">
        <v>2162</v>
      </c>
      <c r="B66" s="287" t="s">
        <v>195</v>
      </c>
      <c r="C66" s="287">
        <v>2</v>
      </c>
      <c r="D66" s="308" t="s">
        <v>1470</v>
      </c>
      <c r="E66" s="293">
        <f>IFERROR(VLOOKUP(Table5[[#This Row],[HCPCS code 2016 Q1]], ASP2016Q1[], 4, FALSE), "")</f>
        <v>1.6120000000000001</v>
      </c>
      <c r="F66" s="304">
        <f>IFERROR(Table5[[#This Row],[Payment Limit 2016Q1]]/Table5[[#This Row],[HCPCS code dosage 2016Q1]], "")</f>
        <v>0.80600000000000005</v>
      </c>
      <c r="G66" s="287" t="s">
        <v>195</v>
      </c>
      <c r="H66" s="287">
        <v>2</v>
      </c>
      <c r="I66" s="308" t="s">
        <v>1470</v>
      </c>
      <c r="J66" s="293">
        <f>IFERROR(VLOOKUP(Table5[[#This Row],[HCPCS code 2016 Q3]], ASP2016Q3[], 4, FALSE), "")</f>
        <v>1.2869999999999999</v>
      </c>
      <c r="K66" s="304">
        <f>IFERROR(Table5[[#This Row],[Payment Limit 2016Q3]]/Table5[[#This Row],[HCPCS code dosage 2016Q3]], "")</f>
        <v>0.64349999999999996</v>
      </c>
      <c r="L66" s="287" t="s">
        <v>195</v>
      </c>
      <c r="M66" s="287">
        <v>2</v>
      </c>
      <c r="N66" s="308" t="s">
        <v>1470</v>
      </c>
      <c r="O66" s="291">
        <f>IFERROR(VLOOKUP(Table5[[#This Row],[HCPCS code 2017 Q1]], ASP2017Q1[], 4, FALSE), "")</f>
        <v>1.2960000000000003</v>
      </c>
      <c r="P66" s="302">
        <f>IFERROR(Table5[[#This Row],[Payment Limit 2017Q1]]/Table5[[#This Row],[HCPCS code dosage 2017Q1]], "")</f>
        <v>0.64800000000000013</v>
      </c>
      <c r="Q66" s="142" t="s">
        <v>195</v>
      </c>
      <c r="R66" s="142">
        <v>2</v>
      </c>
      <c r="S66" s="275" t="s">
        <v>1470</v>
      </c>
      <c r="T66" s="279">
        <f>IFERROR(VLOOKUP(Table5[[#This Row],[HCPCS code 2017 Q3]], ASP2017Q3[], 4, FALSE), "")</f>
        <v>1.2070000000000001</v>
      </c>
      <c r="U66" s="279">
        <f>IFERROR(Table5[[#This Row],[Payment Limit 2017Q3]]/Table5[[#This Row],[HCPCS code dosage 2017Q3]], "")</f>
        <v>0.60350000000000004</v>
      </c>
      <c r="V66" s="374" t="s">
        <v>195</v>
      </c>
      <c r="W66" s="377">
        <v>2</v>
      </c>
      <c r="X66" s="142" t="s">
        <v>1470</v>
      </c>
      <c r="Y66" s="279">
        <v>1.3740000000000001</v>
      </c>
      <c r="Z66" s="370">
        <f>IFERROR(Table5[[#This Row],[Payment Limit 2018 Q1]]/Table5[[#This Row],[HCPCS code dosage 2018 Q1]],"")</f>
        <v>0.68700000000000006</v>
      </c>
      <c r="AA66" s="374" t="s">
        <v>195</v>
      </c>
      <c r="AB66" s="381">
        <v>2</v>
      </c>
      <c r="AC66" s="142" t="s">
        <v>1470</v>
      </c>
      <c r="AD66" s="378">
        <v>1.2889999999999999</v>
      </c>
      <c r="AE66" s="370">
        <f>IFERROR(Table5[[#This Row],[Payment Limit 2018 Q3]]/Table5[[#This Row],[HCPCS code dosage 2018 Q3]],"")</f>
        <v>0.64449999999999996</v>
      </c>
      <c r="AF66" s="142" t="s">
        <v>195</v>
      </c>
      <c r="AG66" s="122">
        <v>0.59</v>
      </c>
      <c r="AH66" s="117" t="s">
        <v>195</v>
      </c>
      <c r="AI66" s="118">
        <v>2</v>
      </c>
      <c r="AJ66" s="118" t="s">
        <v>1470</v>
      </c>
      <c r="AK66" s="139">
        <f>IFERROR(VLOOKUP(Table5[[#This Row],[HCPCS code 2019Q3]], ASP2019Q3[], 4, FALSE), "")</f>
        <v>0.92500000000000004</v>
      </c>
      <c r="AL66" s="72">
        <f>IFERROR(Table5[[#This Row],[Payment Limit 2019Q3]]/Table5[[#This Row],[HCPCS code dosage 2019Q3]], "")</f>
        <v>0.46250000000000002</v>
      </c>
      <c r="AM66" s="130" t="s">
        <v>195</v>
      </c>
      <c r="AN66" s="130">
        <v>2</v>
      </c>
      <c r="AO66" s="130" t="s">
        <v>1470</v>
      </c>
      <c r="AP66" s="126">
        <f>IFERROR(VLOOKUP(Table5[[#This Row],[HCPCS code 2020Q1]], ASP2020Q1[], 4, FALSE), "")</f>
        <v>1.1200000000000001</v>
      </c>
      <c r="AQ66" s="77">
        <f>IFERROR(Table5[[#This Row],[Payment Limit 2020Q1]]/Table5[[#This Row],[HCPCS code dosage 2020Q1]], "")</f>
        <v>0.56000000000000005</v>
      </c>
      <c r="AR66" s="133" t="s">
        <v>195</v>
      </c>
      <c r="AS66" s="130">
        <v>2</v>
      </c>
      <c r="AT66" s="130" t="s">
        <v>1470</v>
      </c>
      <c r="AU66" s="132">
        <f>IFERROR(VLOOKUP(Table5[[#This Row],[HCPCS code 2020Q3]], ASP2020Q3[], 4, FALSE), "")</f>
        <v>1.53</v>
      </c>
      <c r="AV66" s="72">
        <f>IFERROR(Table5[[#This Row],[Payment limit 2020Q3]]/Table5[[#This Row],[HCPCS code dosage 2020Q3]],"")</f>
        <v>0.76500000000000001</v>
      </c>
      <c r="AW66" s="144" t="s">
        <v>195</v>
      </c>
      <c r="AX66" s="118">
        <v>2</v>
      </c>
      <c r="AY66" s="144" t="s">
        <v>1470</v>
      </c>
      <c r="AZ66" s="144">
        <f>IFERROR(VLOOKUP(Table5[[#This Row],[HCPCS code 2021Q1]], ASP2021Q1[], 4, FALSE), "")</f>
        <v>1.51</v>
      </c>
      <c r="BA66" s="122">
        <f>IFERROR(Table5[[#This Row],[Payment limit 2021Q1]]/Table5[[#This Row],[HCPCS code dosage 2021Q1]], "")</f>
        <v>0.755</v>
      </c>
      <c r="BB66" s="147" t="s">
        <v>195</v>
      </c>
      <c r="BC66" s="118">
        <v>2</v>
      </c>
      <c r="BD66" s="144" t="s">
        <v>1470</v>
      </c>
      <c r="BE66" s="144">
        <f>IFERROR(VLOOKUP(Table5[[#This Row],[HCPCS code 2021Q3]], ASP2021Q3[], 4, FALSE), "")</f>
        <v>1.6679999999999999</v>
      </c>
      <c r="BF66" s="122">
        <f>IFERROR(Table5[[#This Row],[Payment limit 2021Q3]]/Table5[[#This Row],[HCPCS code dosage 2021Q3]], "")</f>
        <v>0.83399999999999996</v>
      </c>
      <c r="BG66" s="147" t="s">
        <v>195</v>
      </c>
      <c r="BH66" s="118">
        <v>2</v>
      </c>
      <c r="BI66" s="144" t="s">
        <v>1470</v>
      </c>
      <c r="BJ66" s="144">
        <f>IFERROR(VLOOKUP(Table5[[#This Row],[HCPCS code 2022Q1]], ASP2022Q1[], 4, FALSE), "")</f>
        <v>1.4550000000000001</v>
      </c>
      <c r="BK66" s="122">
        <f>IFERROR(Table5[[#This Row],[Payment limit 2022Q1]]/Table5[[#This Row],[HCPCS code dosage 2022Q1]], "")</f>
        <v>0.72750000000000004</v>
      </c>
      <c r="BL66" s="144" t="s">
        <v>195</v>
      </c>
      <c r="BM66" s="184">
        <v>2</v>
      </c>
      <c r="BN66" s="144" t="s">
        <v>1470</v>
      </c>
      <c r="BO66" s="144">
        <f>IFERROR(VLOOKUP(Table5[[#This Row],[HCPCS Code 2022Q3]], ASP2022Q3[], 4, FALSE), "")</f>
        <v>1.583</v>
      </c>
      <c r="BP66" s="122">
        <f>IFERROR(Table5[[#This Row],[Payment limit 2022Q3]]/Table5[[#This Row],[HCPCS code dosage 2022Q3]], "")</f>
        <v>0.79149999999999998</v>
      </c>
      <c r="BQ66" s="144" t="s">
        <v>195</v>
      </c>
      <c r="BR66" s="118">
        <v>2</v>
      </c>
      <c r="BS66" s="144" t="s">
        <v>1470</v>
      </c>
      <c r="BT66" s="144">
        <v>1.357</v>
      </c>
      <c r="BU66" s="144">
        <f>IFERROR(Table5[[#This Row],[Payment limit 2023Q1]]/Table5[[#This Row],[HCPCS code dosage 2023Q1]], "")</f>
        <v>0.67849999999999999</v>
      </c>
      <c r="BV66" s="79"/>
    </row>
    <row r="67" spans="1:74" x14ac:dyDescent="0.3">
      <c r="A67" s="62" t="s">
        <v>4</v>
      </c>
      <c r="B67" s="286" t="s">
        <v>195</v>
      </c>
      <c r="C67" s="286">
        <v>2</v>
      </c>
      <c r="D67" s="307" t="s">
        <v>1470</v>
      </c>
      <c r="E67" s="292">
        <f>IFERROR(VLOOKUP(Table5[[#This Row],[HCPCS code 2016 Q1]], ASP2016Q1[], 4, FALSE), "")</f>
        <v>1.6120000000000001</v>
      </c>
      <c r="F67" s="303">
        <f>IFERROR(Table5[[#This Row],[Payment Limit 2016Q1]]/Table5[[#This Row],[HCPCS code dosage 2016Q1]], "")</f>
        <v>0.80600000000000005</v>
      </c>
      <c r="G67" s="286" t="s">
        <v>195</v>
      </c>
      <c r="H67" s="286">
        <v>2</v>
      </c>
      <c r="I67" s="307" t="s">
        <v>1470</v>
      </c>
      <c r="J67" s="292">
        <f>IFERROR(VLOOKUP(Table5[[#This Row],[HCPCS code 2016 Q3]], ASP2016Q3[], 4, FALSE), "")</f>
        <v>1.2869999999999999</v>
      </c>
      <c r="K67" s="303">
        <f>IFERROR(Table5[[#This Row],[Payment Limit 2016Q3]]/Table5[[#This Row],[HCPCS code dosage 2016Q3]], "")</f>
        <v>0.64349999999999996</v>
      </c>
      <c r="L67" s="286" t="s">
        <v>195</v>
      </c>
      <c r="M67" s="286">
        <v>2</v>
      </c>
      <c r="N67" s="307" t="s">
        <v>1470</v>
      </c>
      <c r="O67" s="291">
        <f>IFERROR(VLOOKUP(Table5[[#This Row],[HCPCS code 2017 Q1]], ASP2017Q1[], 4, FALSE), "")</f>
        <v>1.2960000000000003</v>
      </c>
      <c r="P67" s="302">
        <f>IFERROR(Table5[[#This Row],[Payment Limit 2017Q1]]/Table5[[#This Row],[HCPCS code dosage 2017Q1]], "")</f>
        <v>0.64800000000000013</v>
      </c>
      <c r="Q67" s="275" t="s">
        <v>195</v>
      </c>
      <c r="R67" s="275">
        <v>2</v>
      </c>
      <c r="S67" s="275" t="s">
        <v>1470</v>
      </c>
      <c r="T67" s="279">
        <f>IFERROR(VLOOKUP(Table5[[#This Row],[HCPCS code 2017 Q3]], ASP2017Q3[], 4, FALSE), "")</f>
        <v>1.2070000000000001</v>
      </c>
      <c r="U67" s="279">
        <f>IFERROR(Table5[[#This Row],[Payment Limit 2017Q3]]/Table5[[#This Row],[HCPCS code dosage 2017Q3]], "")</f>
        <v>0.60350000000000004</v>
      </c>
      <c r="V67" s="374" t="s">
        <v>195</v>
      </c>
      <c r="W67" s="377">
        <v>2</v>
      </c>
      <c r="X67" s="142" t="s">
        <v>1470</v>
      </c>
      <c r="Y67" s="279">
        <v>1.3740000000000001</v>
      </c>
      <c r="Z67" s="370">
        <f>IFERROR(Table5[[#This Row],[Payment Limit 2018 Q1]]/Table5[[#This Row],[HCPCS code dosage 2018 Q1]],"")</f>
        <v>0.68700000000000006</v>
      </c>
      <c r="AA67" s="374" t="s">
        <v>195</v>
      </c>
      <c r="AB67" s="381">
        <v>2</v>
      </c>
      <c r="AC67" s="142" t="s">
        <v>1470</v>
      </c>
      <c r="AD67" s="378">
        <v>1.2889999999999999</v>
      </c>
      <c r="AE67" s="370">
        <f>IFERROR(Table5[[#This Row],[Payment Limit 2018 Q3]]/Table5[[#This Row],[HCPCS code dosage 2018 Q3]],"")</f>
        <v>0.64449999999999996</v>
      </c>
      <c r="AF67" s="275" t="s">
        <v>195</v>
      </c>
      <c r="AG67" s="122">
        <v>0.59350000000000003</v>
      </c>
      <c r="AH67" s="117" t="s">
        <v>195</v>
      </c>
      <c r="AI67" s="118" t="s">
        <v>1667</v>
      </c>
      <c r="AJ67" s="118" t="s">
        <v>1470</v>
      </c>
      <c r="AK67" s="115">
        <f>IFERROR(VLOOKUP(Table5[[#This Row],[HCPCS code 2019Q3]], ASP2019Q3[], 4, FALSE), "")</f>
        <v>0.92500000000000004</v>
      </c>
      <c r="AL67" s="72">
        <f>IFERROR(Table5[[#This Row],[Payment Limit 2019Q3]]/Table5[[#This Row],[HCPCS code dosage 2019Q3]], "")</f>
        <v>0.46250000000000002</v>
      </c>
      <c r="AM67" s="130" t="s">
        <v>195</v>
      </c>
      <c r="AN67" s="130" t="s">
        <v>1667</v>
      </c>
      <c r="AO67" s="130" t="s">
        <v>1470</v>
      </c>
      <c r="AP67" s="126">
        <f>IFERROR(VLOOKUP(Table5[[#This Row],[HCPCS code 2020Q1]], ASP2020Q1[], 4, FALSE), "")</f>
        <v>1.1200000000000001</v>
      </c>
      <c r="AQ67" s="77">
        <f>IFERROR(Table5[[#This Row],[Payment Limit 2020Q1]]/Table5[[#This Row],[HCPCS code dosage 2020Q1]], "")</f>
        <v>0.56000000000000005</v>
      </c>
      <c r="AR67" s="133" t="s">
        <v>195</v>
      </c>
      <c r="AS67" s="130" t="s">
        <v>1667</v>
      </c>
      <c r="AT67" s="130" t="s">
        <v>1470</v>
      </c>
      <c r="AU67" s="132">
        <f>IFERROR(VLOOKUP(Table5[[#This Row],[HCPCS code 2020Q3]], ASP2020Q3[], 4, FALSE), "")</f>
        <v>1.53</v>
      </c>
      <c r="AV67" s="72">
        <f>IFERROR(Table5[[#This Row],[Payment limit 2020Q3]]/Table5[[#This Row],[HCPCS code dosage 2020Q3]],"")</f>
        <v>0.76500000000000001</v>
      </c>
      <c r="AW67" s="144" t="s">
        <v>195</v>
      </c>
      <c r="AX67" s="118" t="s">
        <v>1667</v>
      </c>
      <c r="AY67" s="144" t="s">
        <v>1470</v>
      </c>
      <c r="AZ67" s="144">
        <f>IFERROR(VLOOKUP(Table5[[#This Row],[HCPCS code 2021Q1]], ASP2021Q1[], 4, FALSE), "")</f>
        <v>1.51</v>
      </c>
      <c r="BA67" s="122">
        <f>IFERROR(Table5[[#This Row],[Payment limit 2021Q1]]/Table5[[#This Row],[HCPCS code dosage 2021Q1]], "")</f>
        <v>0.755</v>
      </c>
      <c r="BB67" s="147" t="s">
        <v>195</v>
      </c>
      <c r="BC67" s="118" t="s">
        <v>1667</v>
      </c>
      <c r="BD67" s="144" t="s">
        <v>1470</v>
      </c>
      <c r="BE67" s="144">
        <f>IFERROR(VLOOKUP(Table5[[#This Row],[HCPCS code 2021Q3]], ASP2021Q3[], 4, FALSE), "")</f>
        <v>1.6679999999999999</v>
      </c>
      <c r="BF67" s="122">
        <f>IFERROR(Table5[[#This Row],[Payment limit 2021Q3]]/Table5[[#This Row],[HCPCS code dosage 2021Q3]], "")</f>
        <v>0.83399999999999996</v>
      </c>
      <c r="BG67" s="147" t="s">
        <v>195</v>
      </c>
      <c r="BH67" s="118" t="s">
        <v>1667</v>
      </c>
      <c r="BI67" s="144" t="s">
        <v>1470</v>
      </c>
      <c r="BJ67" s="144">
        <f>IFERROR(VLOOKUP(Table5[[#This Row],[HCPCS code 2022Q1]], ASP2022Q1[], 4, FALSE), "")</f>
        <v>1.4550000000000001</v>
      </c>
      <c r="BK67" s="122">
        <f>IFERROR(Table5[[#This Row],[Payment limit 2022Q1]]/Table5[[#This Row],[HCPCS code dosage 2022Q1]], "")</f>
        <v>0.72750000000000004</v>
      </c>
      <c r="BL67" s="144" t="s">
        <v>195</v>
      </c>
      <c r="BM67" s="184">
        <v>2</v>
      </c>
      <c r="BN67" s="144" t="s">
        <v>1470</v>
      </c>
      <c r="BO67" s="144">
        <f>IFERROR(VLOOKUP(Table5[[#This Row],[HCPCS Code 2022Q3]], ASP2022Q3[], 4, FALSE), "")</f>
        <v>1.583</v>
      </c>
      <c r="BP67" s="122">
        <f>IFERROR(Table5[[#This Row],[Payment limit 2022Q3]]/Table5[[#This Row],[HCPCS code dosage 2022Q3]], "")</f>
        <v>0.79149999999999998</v>
      </c>
      <c r="BQ67" s="144" t="s">
        <v>195</v>
      </c>
      <c r="BR67" s="118">
        <v>2</v>
      </c>
      <c r="BS67" s="144" t="s">
        <v>1470</v>
      </c>
      <c r="BT67" s="144">
        <v>1.357</v>
      </c>
      <c r="BU67" s="144">
        <f>IFERROR(Table5[[#This Row],[Payment limit 2023Q1]]/Table5[[#This Row],[HCPCS code dosage 2023Q1]], "")</f>
        <v>0.67849999999999999</v>
      </c>
      <c r="BV67" s="79"/>
    </row>
    <row r="68" spans="1:74" x14ac:dyDescent="0.3">
      <c r="A68" s="62" t="s">
        <v>22</v>
      </c>
      <c r="B68" s="286" t="s">
        <v>1219</v>
      </c>
      <c r="C68" s="286">
        <v>0.1</v>
      </c>
      <c r="D68" s="307" t="s">
        <v>1470</v>
      </c>
      <c r="E68" s="292">
        <f>IFERROR(VLOOKUP(Table5[[#This Row],[HCPCS code 2016 Q1]], ASP2016Q1[], 4, FALSE), "")</f>
        <v>104.425</v>
      </c>
      <c r="F68" s="303">
        <f>IFERROR(Table5[[#This Row],[Payment Limit 2016Q1]]/Table5[[#This Row],[HCPCS code dosage 2016Q1]], "")</f>
        <v>1044.25</v>
      </c>
      <c r="G68" s="286" t="s">
        <v>1219</v>
      </c>
      <c r="H68" s="286">
        <v>0.1</v>
      </c>
      <c r="I68" s="307" t="s">
        <v>1470</v>
      </c>
      <c r="J68" s="292">
        <f>IFERROR(VLOOKUP(Table5[[#This Row],[HCPCS code 2016 Q3]], ASP2016Q3[], 4, FALSE), "")</f>
        <v>106.377</v>
      </c>
      <c r="K68" s="303">
        <f>IFERROR(Table5[[#This Row],[Payment Limit 2016Q3]]/Table5[[#This Row],[HCPCS code dosage 2016Q3]], "")</f>
        <v>1063.77</v>
      </c>
      <c r="L68" s="286" t="s">
        <v>1219</v>
      </c>
      <c r="M68" s="286">
        <v>0.1</v>
      </c>
      <c r="N68" s="307" t="s">
        <v>1470</v>
      </c>
      <c r="O68" s="291">
        <f>IFERROR(VLOOKUP(Table5[[#This Row],[HCPCS code 2017 Q1]], ASP2017Q1[], 4, FALSE), "")</f>
        <v>108.08199999999999</v>
      </c>
      <c r="P68" s="302">
        <f>IFERROR(Table5[[#This Row],[Payment Limit 2017Q1]]/Table5[[#This Row],[HCPCS code dosage 2017Q1]], "")</f>
        <v>1080.82</v>
      </c>
      <c r="Q68" s="275" t="s">
        <v>1219</v>
      </c>
      <c r="R68" s="275">
        <v>0.1</v>
      </c>
      <c r="S68" s="275" t="s">
        <v>1470</v>
      </c>
      <c r="T68" s="279">
        <f>IFERROR(VLOOKUP(Table5[[#This Row],[HCPCS code 2017 Q3]], ASP2017Q3[], 4, FALSE), "")</f>
        <v>109.60899999999999</v>
      </c>
      <c r="U68" s="279">
        <f>IFERROR(Table5[[#This Row],[Payment Limit 2017Q3]]/Table5[[#This Row],[HCPCS code dosage 2017Q3]], "")</f>
        <v>1096.0899999999999</v>
      </c>
      <c r="V68" s="374" t="s">
        <v>1219</v>
      </c>
      <c r="W68" s="377">
        <v>0.1</v>
      </c>
      <c r="X68" s="142" t="s">
        <v>1470</v>
      </c>
      <c r="Y68" s="279">
        <v>110.571</v>
      </c>
      <c r="Z68" s="370">
        <f>IFERROR(Table5[[#This Row],[Payment Limit 2018 Q1]]/Table5[[#This Row],[HCPCS code dosage 2018 Q1]],"")</f>
        <v>1105.7099999999998</v>
      </c>
      <c r="AA68" s="374" t="s">
        <v>1219</v>
      </c>
      <c r="AB68" s="381">
        <v>0.1</v>
      </c>
      <c r="AC68" s="142" t="s">
        <v>1470</v>
      </c>
      <c r="AD68" s="378">
        <v>112.98699999999999</v>
      </c>
      <c r="AE68" s="370">
        <f>IFERROR(Table5[[#This Row],[Payment Limit 2018 Q3]]/Table5[[#This Row],[HCPCS code dosage 2018 Q3]],"")</f>
        <v>1129.8699999999999</v>
      </c>
      <c r="AF68" s="275" t="s">
        <v>1219</v>
      </c>
      <c r="AG68" s="122">
        <v>1153.0899999999999</v>
      </c>
      <c r="AH68" s="117" t="s">
        <v>1219</v>
      </c>
      <c r="AI68" s="118" t="s">
        <v>1671</v>
      </c>
      <c r="AJ68" s="118" t="s">
        <v>1470</v>
      </c>
      <c r="AK68" s="115">
        <f>IFERROR(VLOOKUP(Table5[[#This Row],[HCPCS code 2019Q3]], ASP2019Q3[], 4, FALSE), "")</f>
        <v>115.762</v>
      </c>
      <c r="AL68" s="72">
        <f>IFERROR(Table5[[#This Row],[Payment Limit 2019Q3]]/Table5[[#This Row],[HCPCS code dosage 2019Q3]], "")</f>
        <v>1157.6199999999999</v>
      </c>
      <c r="AM68" s="130" t="s">
        <v>1219</v>
      </c>
      <c r="AN68" s="130" t="s">
        <v>1671</v>
      </c>
      <c r="AO68" s="130" t="s">
        <v>1470</v>
      </c>
      <c r="AP68" s="126">
        <f>IFERROR(VLOOKUP(Table5[[#This Row],[HCPCS code 2020Q1]], ASP2020Q1[], 4, FALSE), "")</f>
        <v>116.23699999999999</v>
      </c>
      <c r="AQ68" s="77">
        <f>IFERROR(Table5[[#This Row],[Payment Limit 2020Q1]]/Table5[[#This Row],[HCPCS code dosage 2020Q1]], "")</f>
        <v>1162.3699999999999</v>
      </c>
      <c r="AR68" s="133" t="s">
        <v>1219</v>
      </c>
      <c r="AS68" s="130" t="s">
        <v>1671</v>
      </c>
      <c r="AT68" s="130" t="s">
        <v>1470</v>
      </c>
      <c r="AU68" s="132">
        <f>IFERROR(VLOOKUP(Table5[[#This Row],[HCPCS code 2020Q3]], ASP2020Q3[], 4, FALSE), "")</f>
        <v>117.422</v>
      </c>
      <c r="AV68" s="72">
        <f>IFERROR(Table5[[#This Row],[Payment limit 2020Q3]]/Table5[[#This Row],[HCPCS code dosage 2020Q3]],"")</f>
        <v>1174.2199999999998</v>
      </c>
      <c r="AW68" s="144" t="s">
        <v>1219</v>
      </c>
      <c r="AX68" s="118" t="s">
        <v>1671</v>
      </c>
      <c r="AY68" s="144" t="s">
        <v>1470</v>
      </c>
      <c r="AZ68" s="144">
        <f>IFERROR(VLOOKUP(Table5[[#This Row],[HCPCS code 2021Q1]], ASP2021Q1[], 4, FALSE), "")</f>
        <v>117.762</v>
      </c>
      <c r="BA68" s="122">
        <f>IFERROR(Table5[[#This Row],[Payment limit 2021Q1]]/Table5[[#This Row],[HCPCS code dosage 2021Q1]], "")</f>
        <v>1177.6199999999999</v>
      </c>
      <c r="BB68" s="147" t="s">
        <v>1219</v>
      </c>
      <c r="BC68" s="118" t="s">
        <v>1671</v>
      </c>
      <c r="BD68" s="144" t="s">
        <v>1470</v>
      </c>
      <c r="BE68" s="144">
        <f>IFERROR(VLOOKUP(Table5[[#This Row],[HCPCS code 2021Q3]], ASP2021Q3[], 4, FALSE), "")</f>
        <v>121.28700000000001</v>
      </c>
      <c r="BF68" s="122">
        <f>IFERROR(Table5[[#This Row],[Payment limit 2021Q3]]/Table5[[#This Row],[HCPCS code dosage 2021Q3]], "")</f>
        <v>1212.8699999999999</v>
      </c>
      <c r="BG68" s="147" t="s">
        <v>1219</v>
      </c>
      <c r="BH68" s="118" t="s">
        <v>1671</v>
      </c>
      <c r="BI68" s="144" t="s">
        <v>1470</v>
      </c>
      <c r="BJ68" s="144">
        <f>IFERROR(VLOOKUP(Table5[[#This Row],[HCPCS code 2022Q1]], ASP2022Q1[], 4, FALSE), "")</f>
        <v>127.43600000000001</v>
      </c>
      <c r="BK68" s="122">
        <f>IFERROR(Table5[[#This Row],[Payment limit 2022Q1]]/Table5[[#This Row],[HCPCS code dosage 2022Q1]], "")</f>
        <v>1274.3599999999999</v>
      </c>
      <c r="BL68" s="144" t="s">
        <v>1219</v>
      </c>
      <c r="BM68" s="184">
        <v>0.1</v>
      </c>
      <c r="BN68" s="144" t="s">
        <v>1470</v>
      </c>
      <c r="BO68" s="144">
        <f>IFERROR(VLOOKUP(Table5[[#This Row],[HCPCS Code 2022Q3]], ASP2022Q3[], 4, FALSE), "")</f>
        <v>132.803</v>
      </c>
      <c r="BP68" s="122">
        <f>IFERROR(Table5[[#This Row],[Payment limit 2022Q3]]/Table5[[#This Row],[HCPCS code dosage 2022Q3]], "")</f>
        <v>1328.03</v>
      </c>
      <c r="BQ68" s="144" t="s">
        <v>1219</v>
      </c>
      <c r="BR68" s="118">
        <v>0.1</v>
      </c>
      <c r="BS68" s="144" t="s">
        <v>1470</v>
      </c>
      <c r="BT68" s="144">
        <v>126.626</v>
      </c>
      <c r="BU68" s="144">
        <f>IFERROR(Table5[[#This Row],[Payment limit 2023Q1]]/Table5[[#This Row],[HCPCS code dosage 2023Q1]], "")</f>
        <v>1266.26</v>
      </c>
      <c r="BV68" s="79"/>
    </row>
    <row r="69" spans="1:74" x14ac:dyDescent="0.3">
      <c r="A69" s="62" t="s">
        <v>102</v>
      </c>
      <c r="B69" s="286" t="s">
        <v>1221</v>
      </c>
      <c r="C69" s="286">
        <v>10</v>
      </c>
      <c r="D69" s="307" t="s">
        <v>1470</v>
      </c>
      <c r="E69" s="292">
        <f>IFERROR(VLOOKUP(Table5[[#This Row],[HCPCS code 2016 Q1]], ASP2016Q1[], 4, FALSE), "")</f>
        <v>0.63100000000000001</v>
      </c>
      <c r="F69" s="303">
        <f>IFERROR(Table5[[#This Row],[Payment Limit 2016Q1]]/Table5[[#This Row],[HCPCS code dosage 2016Q1]], "")</f>
        <v>6.3100000000000003E-2</v>
      </c>
      <c r="G69" s="286" t="s">
        <v>1221</v>
      </c>
      <c r="H69" s="286">
        <v>10</v>
      </c>
      <c r="I69" s="307" t="s">
        <v>1470</v>
      </c>
      <c r="J69" s="292">
        <f>IFERROR(VLOOKUP(Table5[[#This Row],[HCPCS code 2016 Q3]], ASP2016Q3[], 4, FALSE), "")</f>
        <v>0.71599999999999997</v>
      </c>
      <c r="K69" s="303">
        <f>IFERROR(Table5[[#This Row],[Payment Limit 2016Q3]]/Table5[[#This Row],[HCPCS code dosage 2016Q3]], "")</f>
        <v>7.1599999999999997E-2</v>
      </c>
      <c r="L69" s="286" t="s">
        <v>1221</v>
      </c>
      <c r="M69" s="286">
        <v>10</v>
      </c>
      <c r="N69" s="307" t="s">
        <v>1470</v>
      </c>
      <c r="O69" s="291">
        <f>IFERROR(VLOOKUP(Table5[[#This Row],[HCPCS code 2017 Q1]], ASP2017Q1[], 4, FALSE), "")</f>
        <v>0.62</v>
      </c>
      <c r="P69" s="302">
        <f>IFERROR(Table5[[#This Row],[Payment Limit 2017Q1]]/Table5[[#This Row],[HCPCS code dosage 2017Q1]], "")</f>
        <v>6.2E-2</v>
      </c>
      <c r="Q69" s="275" t="s">
        <v>1221</v>
      </c>
      <c r="R69" s="275">
        <v>10</v>
      </c>
      <c r="S69" s="275" t="s">
        <v>1470</v>
      </c>
      <c r="T69" s="279">
        <f>IFERROR(VLOOKUP(Table5[[#This Row],[HCPCS code 2017 Q3]], ASP2017Q3[], 4, FALSE), "")</f>
        <v>0.58499999999999996</v>
      </c>
      <c r="U69" s="279">
        <f>IFERROR(Table5[[#This Row],[Payment Limit 2017Q3]]/Table5[[#This Row],[HCPCS code dosage 2017Q3]], "")</f>
        <v>5.8499999999999996E-2</v>
      </c>
      <c r="V69" s="374" t="s">
        <v>1221</v>
      </c>
      <c r="W69" s="377">
        <v>10</v>
      </c>
      <c r="X69" s="142" t="s">
        <v>1470</v>
      </c>
      <c r="Y69" s="279">
        <v>0.60899999999999999</v>
      </c>
      <c r="Z69" s="370">
        <f>IFERROR(Table5[[#This Row],[Payment Limit 2018 Q1]]/Table5[[#This Row],[HCPCS code dosage 2018 Q1]],"")</f>
        <v>6.0899999999999996E-2</v>
      </c>
      <c r="AA69" s="374" t="s">
        <v>1221</v>
      </c>
      <c r="AB69" s="381">
        <v>10</v>
      </c>
      <c r="AC69" s="142" t="s">
        <v>1470</v>
      </c>
      <c r="AD69" s="378">
        <v>1.351</v>
      </c>
      <c r="AE69" s="370">
        <f>IFERROR(Table5[[#This Row],[Payment Limit 2018 Q3]]/Table5[[#This Row],[HCPCS code dosage 2018 Q3]],"")</f>
        <v>0.1351</v>
      </c>
      <c r="AF69" s="275" t="s">
        <v>1221</v>
      </c>
      <c r="AG69" s="122">
        <v>6.9599999999999995E-2</v>
      </c>
      <c r="AH69" s="117" t="s">
        <v>1221</v>
      </c>
      <c r="AI69" s="118" t="s">
        <v>1664</v>
      </c>
      <c r="AJ69" s="118" t="s">
        <v>1470</v>
      </c>
      <c r="AK69" s="115">
        <f>IFERROR(VLOOKUP(Table5[[#This Row],[HCPCS code 2019Q3]], ASP2019Q3[], 4, FALSE), "")</f>
        <v>0.622</v>
      </c>
      <c r="AL69" s="72">
        <f>IFERROR(Table5[[#This Row],[Payment Limit 2019Q3]]/Table5[[#This Row],[HCPCS code dosage 2019Q3]], "")</f>
        <v>6.2199999999999998E-2</v>
      </c>
      <c r="AM69" s="130" t="s">
        <v>1221</v>
      </c>
      <c r="AN69" s="130" t="s">
        <v>1664</v>
      </c>
      <c r="AO69" s="130" t="s">
        <v>1470</v>
      </c>
      <c r="AP69" s="126">
        <f>IFERROR(VLOOKUP(Table5[[#This Row],[HCPCS code 2020Q1]], ASP2020Q1[], 4, FALSE), "")</f>
        <v>0.61899999999999999</v>
      </c>
      <c r="AQ69" s="77">
        <f>IFERROR(Table5[[#This Row],[Payment Limit 2020Q1]]/Table5[[#This Row],[HCPCS code dosage 2020Q1]], "")</f>
        <v>6.1899999999999997E-2</v>
      </c>
      <c r="AR69" s="133" t="s">
        <v>1221</v>
      </c>
      <c r="AS69" s="130" t="s">
        <v>1664</v>
      </c>
      <c r="AT69" s="130" t="s">
        <v>1470</v>
      </c>
      <c r="AU69" s="132">
        <f>IFERROR(VLOOKUP(Table5[[#This Row],[HCPCS code 2020Q3]], ASP2020Q3[], 4, FALSE), "")</f>
        <v>0.60199999999999998</v>
      </c>
      <c r="AV69" s="72">
        <f>IFERROR(Table5[[#This Row],[Payment limit 2020Q3]]/Table5[[#This Row],[HCPCS code dosage 2020Q3]],"")</f>
        <v>6.0199999999999997E-2</v>
      </c>
      <c r="AW69" s="144" t="s">
        <v>1221</v>
      </c>
      <c r="AX69" s="118" t="s">
        <v>1664</v>
      </c>
      <c r="AY69" s="144" t="s">
        <v>1470</v>
      </c>
      <c r="AZ69" s="144">
        <f>IFERROR(VLOOKUP(Table5[[#This Row],[HCPCS code 2021Q1]], ASP2021Q1[], 4, FALSE), "")</f>
        <v>0.74399999999999999</v>
      </c>
      <c r="BA69" s="122">
        <f>IFERROR(Table5[[#This Row],[Payment limit 2021Q1]]/Table5[[#This Row],[HCPCS code dosage 2021Q1]], "")</f>
        <v>7.4399999999999994E-2</v>
      </c>
      <c r="BB69" s="147" t="s">
        <v>1221</v>
      </c>
      <c r="BC69" s="118" t="s">
        <v>1664</v>
      </c>
      <c r="BD69" s="144" t="s">
        <v>1470</v>
      </c>
      <c r="BE69" s="144">
        <f>IFERROR(VLOOKUP(Table5[[#This Row],[HCPCS code 2021Q3]], ASP2021Q3[], 4, FALSE), "")</f>
        <v>0.71099999999999997</v>
      </c>
      <c r="BF69" s="122">
        <f>IFERROR(Table5[[#This Row],[Payment limit 2021Q3]]/Table5[[#This Row],[HCPCS code dosage 2021Q3]], "")</f>
        <v>7.1099999999999997E-2</v>
      </c>
      <c r="BG69" s="147" t="s">
        <v>1221</v>
      </c>
      <c r="BH69" s="118" t="s">
        <v>1664</v>
      </c>
      <c r="BI69" s="144" t="s">
        <v>1470</v>
      </c>
      <c r="BJ69" s="144">
        <f>IFERROR(VLOOKUP(Table5[[#This Row],[HCPCS code 2022Q1]], ASP2022Q1[], 4, FALSE), "")</f>
        <v>0.75800000000000001</v>
      </c>
      <c r="BK69" s="122">
        <f>IFERROR(Table5[[#This Row],[Payment limit 2022Q1]]/Table5[[#This Row],[HCPCS code dosage 2022Q1]], "")</f>
        <v>7.5800000000000006E-2</v>
      </c>
      <c r="BL69" s="144" t="s">
        <v>1221</v>
      </c>
      <c r="BM69" s="184">
        <v>10</v>
      </c>
      <c r="BN69" s="144" t="s">
        <v>1470</v>
      </c>
      <c r="BO69" s="144">
        <f>IFERROR(VLOOKUP(Table5[[#This Row],[HCPCS Code 2022Q3]], ASP2022Q3[], 4, FALSE), "")</f>
        <v>0.80300000000000005</v>
      </c>
      <c r="BP69" s="122">
        <f>IFERROR(Table5[[#This Row],[Payment limit 2022Q3]]/Table5[[#This Row],[HCPCS code dosage 2022Q3]], "")</f>
        <v>8.030000000000001E-2</v>
      </c>
      <c r="BQ69" s="144" t="s">
        <v>1221</v>
      </c>
      <c r="BR69" s="118">
        <v>10</v>
      </c>
      <c r="BS69" s="144" t="s">
        <v>1470</v>
      </c>
      <c r="BT69" s="144">
        <v>0.89400000000000002</v>
      </c>
      <c r="BU69" s="144">
        <f>IFERROR(Table5[[#This Row],[Payment limit 2023Q1]]/Table5[[#This Row],[HCPCS code dosage 2023Q1]], "")</f>
        <v>8.9400000000000007E-2</v>
      </c>
      <c r="BV69" s="79"/>
    </row>
    <row r="70" spans="1:74" x14ac:dyDescent="0.3">
      <c r="A70" s="62" t="s">
        <v>128</v>
      </c>
      <c r="B70" s="286" t="s">
        <v>1128</v>
      </c>
      <c r="C70" s="286">
        <v>50</v>
      </c>
      <c r="D70" s="307" t="s">
        <v>1470</v>
      </c>
      <c r="E70" s="292">
        <f>IFERROR(VLOOKUP(Table5[[#This Row],[HCPCS code 2016 Q1]], ASP2016Q1[], 4, FALSE), "")</f>
        <v>68.62</v>
      </c>
      <c r="F70" s="303">
        <f>IFERROR(Table5[[#This Row],[Payment Limit 2016Q1]]/Table5[[#This Row],[HCPCS code dosage 2016Q1]], "")</f>
        <v>1.3724000000000001</v>
      </c>
      <c r="G70" s="286" t="s">
        <v>1128</v>
      </c>
      <c r="H70" s="286">
        <v>50</v>
      </c>
      <c r="I70" s="307" t="s">
        <v>1470</v>
      </c>
      <c r="J70" s="292">
        <f>IFERROR(VLOOKUP(Table5[[#This Row],[HCPCS code 2016 Q3]], ASP2016Q3[], 4, FALSE), "")</f>
        <v>66.727000000000004</v>
      </c>
      <c r="K70" s="303">
        <f>IFERROR(Table5[[#This Row],[Payment Limit 2016Q3]]/Table5[[#This Row],[HCPCS code dosage 2016Q3]], "")</f>
        <v>1.3345400000000001</v>
      </c>
      <c r="L70" s="286" t="s">
        <v>1128</v>
      </c>
      <c r="M70" s="286">
        <v>50</v>
      </c>
      <c r="N70" s="307" t="s">
        <v>1470</v>
      </c>
      <c r="O70" s="291">
        <f>IFERROR(VLOOKUP(Table5[[#This Row],[HCPCS code 2017 Q1]], ASP2017Q1[], 4, FALSE), "")</f>
        <v>73.55</v>
      </c>
      <c r="P70" s="302">
        <f>IFERROR(Table5[[#This Row],[Payment Limit 2017Q1]]/Table5[[#This Row],[HCPCS code dosage 2017Q1]], "")</f>
        <v>1.4709999999999999</v>
      </c>
      <c r="Q70" s="275" t="s">
        <v>1128</v>
      </c>
      <c r="R70" s="275">
        <v>50</v>
      </c>
      <c r="S70" s="275" t="s">
        <v>1470</v>
      </c>
      <c r="T70" s="279">
        <f>IFERROR(VLOOKUP(Table5[[#This Row],[HCPCS code 2017 Q3]], ASP2017Q3[], 4, FALSE), "")</f>
        <v>74.081000000000003</v>
      </c>
      <c r="U70" s="279">
        <f>IFERROR(Table5[[#This Row],[Payment Limit 2017Q3]]/Table5[[#This Row],[HCPCS code dosage 2017Q3]], "")</f>
        <v>1.4816200000000002</v>
      </c>
      <c r="V70" s="374" t="s">
        <v>1128</v>
      </c>
      <c r="W70" s="377">
        <v>50</v>
      </c>
      <c r="X70" s="142" t="s">
        <v>1470</v>
      </c>
      <c r="Y70" s="279">
        <v>73.777000000000001</v>
      </c>
      <c r="Z70" s="370">
        <f>IFERROR(Table5[[#This Row],[Payment Limit 2018 Q1]]/Table5[[#This Row],[HCPCS code dosage 2018 Q1]],"")</f>
        <v>1.4755400000000001</v>
      </c>
      <c r="AA70" s="374" t="s">
        <v>1128</v>
      </c>
      <c r="AB70" s="381">
        <v>50</v>
      </c>
      <c r="AC70" s="142" t="s">
        <v>1470</v>
      </c>
      <c r="AD70" s="378">
        <v>75.789000000000001</v>
      </c>
      <c r="AE70" s="370">
        <f>IFERROR(Table5[[#This Row],[Payment Limit 2018 Q3]]/Table5[[#This Row],[HCPCS code dosage 2018 Q3]],"")</f>
        <v>1.5157800000000001</v>
      </c>
      <c r="AF70" s="275" t="s">
        <v>1128</v>
      </c>
      <c r="AG70" s="122">
        <v>1.51522</v>
      </c>
      <c r="AH70" s="117" t="s">
        <v>1128</v>
      </c>
      <c r="AI70" s="118" t="s">
        <v>1676</v>
      </c>
      <c r="AJ70" s="118" t="s">
        <v>1470</v>
      </c>
      <c r="AK70" s="115">
        <f>IFERROR(VLOOKUP(Table5[[#This Row],[HCPCS code 2019Q3]], ASP2019Q3[], 4, FALSE), "")</f>
        <v>74.611000000000004</v>
      </c>
      <c r="AL70" s="72">
        <f>IFERROR(Table5[[#This Row],[Payment Limit 2019Q3]]/Table5[[#This Row],[HCPCS code dosage 2019Q3]], "")</f>
        <v>1.4922200000000001</v>
      </c>
      <c r="AM70" s="130" t="s">
        <v>1128</v>
      </c>
      <c r="AN70" s="130" t="s">
        <v>1676</v>
      </c>
      <c r="AO70" s="130" t="s">
        <v>1470</v>
      </c>
      <c r="AP70" s="126">
        <f>IFERROR(VLOOKUP(Table5[[#This Row],[HCPCS code 2020Q1]], ASP2020Q1[], 4, FALSE), "")</f>
        <v>75.266999999999996</v>
      </c>
      <c r="AQ70" s="77">
        <f>IFERROR(Table5[[#This Row],[Payment Limit 2020Q1]]/Table5[[#This Row],[HCPCS code dosage 2020Q1]], "")</f>
        <v>1.5053399999999999</v>
      </c>
      <c r="AR70" s="133" t="s">
        <v>1128</v>
      </c>
      <c r="AS70" s="130" t="s">
        <v>1676</v>
      </c>
      <c r="AT70" s="130" t="s">
        <v>1470</v>
      </c>
      <c r="AU70" s="132">
        <f>IFERROR(VLOOKUP(Table5[[#This Row],[HCPCS code 2020Q3]], ASP2020Q3[], 4, FALSE), "")</f>
        <v>75.290000000000006</v>
      </c>
      <c r="AV70" s="72">
        <f>IFERROR(Table5[[#This Row],[Payment limit 2020Q3]]/Table5[[#This Row],[HCPCS code dosage 2020Q3]],"")</f>
        <v>1.5058</v>
      </c>
      <c r="AW70" s="144" t="s">
        <v>1128</v>
      </c>
      <c r="AX70" s="118" t="s">
        <v>1676</v>
      </c>
      <c r="AY70" s="144" t="s">
        <v>1470</v>
      </c>
      <c r="AZ70" s="144">
        <f>IFERROR(VLOOKUP(Table5[[#This Row],[HCPCS code 2021Q1]], ASP2021Q1[], 4, FALSE), "")</f>
        <v>75.769000000000005</v>
      </c>
      <c r="BA70" s="122">
        <f>IFERROR(Table5[[#This Row],[Payment limit 2021Q1]]/Table5[[#This Row],[HCPCS code dosage 2021Q1]], "")</f>
        <v>1.5153800000000002</v>
      </c>
      <c r="BB70" s="147" t="s">
        <v>1128</v>
      </c>
      <c r="BC70" s="118" t="s">
        <v>1676</v>
      </c>
      <c r="BD70" s="144" t="s">
        <v>1470</v>
      </c>
      <c r="BE70" s="144">
        <f>IFERROR(VLOOKUP(Table5[[#This Row],[HCPCS code 2021Q3]], ASP2021Q3[], 4, FALSE), "")</f>
        <v>75.733999999999995</v>
      </c>
      <c r="BF70" s="122">
        <f>IFERROR(Table5[[#This Row],[Payment limit 2021Q3]]/Table5[[#This Row],[HCPCS code dosage 2021Q3]], "")</f>
        <v>1.5146799999999998</v>
      </c>
      <c r="BG70" s="147" t="s">
        <v>1128</v>
      </c>
      <c r="BH70" s="118" t="s">
        <v>1676</v>
      </c>
      <c r="BI70" s="144" t="s">
        <v>1470</v>
      </c>
      <c r="BJ70" s="144">
        <f>IFERROR(VLOOKUP(Table5[[#This Row],[HCPCS code 2022Q1]], ASP2022Q1[], 4, FALSE), "")</f>
        <v>75.507000000000005</v>
      </c>
      <c r="BK70" s="122">
        <f>IFERROR(Table5[[#This Row],[Payment limit 2022Q1]]/Table5[[#This Row],[HCPCS code dosage 2022Q1]], "")</f>
        <v>1.51014</v>
      </c>
      <c r="BL70" s="144" t="s">
        <v>1128</v>
      </c>
      <c r="BM70" s="184">
        <v>50</v>
      </c>
      <c r="BN70" s="144" t="s">
        <v>1470</v>
      </c>
      <c r="BO70" s="144">
        <f>IFERROR(VLOOKUP(Table5[[#This Row],[HCPCS Code 2022Q3]], ASP2022Q3[], 4, FALSE), "")</f>
        <v>76.093999999999994</v>
      </c>
      <c r="BP70" s="122">
        <f>IFERROR(Table5[[#This Row],[Payment limit 2022Q3]]/Table5[[#This Row],[HCPCS code dosage 2022Q3]], "")</f>
        <v>1.5218799999999999</v>
      </c>
      <c r="BQ70" s="144" t="s">
        <v>1128</v>
      </c>
      <c r="BR70" s="118">
        <v>50</v>
      </c>
      <c r="BS70" s="144" t="s">
        <v>1470</v>
      </c>
      <c r="BT70" s="144">
        <v>76.405000000000001</v>
      </c>
      <c r="BU70" s="144">
        <f>IFERROR(Table5[[#This Row],[Payment limit 2023Q1]]/Table5[[#This Row],[HCPCS code dosage 2023Q1]], "")</f>
        <v>1.5281</v>
      </c>
      <c r="BV70" s="79"/>
    </row>
    <row r="71" spans="1:74" x14ac:dyDescent="0.3">
      <c r="A71" s="62" t="s">
        <v>188</v>
      </c>
      <c r="B71" s="286" t="s">
        <v>1221</v>
      </c>
      <c r="C71" s="286">
        <v>10</v>
      </c>
      <c r="D71" s="307" t="s">
        <v>1470</v>
      </c>
      <c r="E71" s="292">
        <f>IFERROR(VLOOKUP(Table5[[#This Row],[HCPCS code 2016 Q1]], ASP2016Q1[], 4, FALSE), "")</f>
        <v>0.63100000000000001</v>
      </c>
      <c r="F71" s="303">
        <f>IFERROR(Table5[[#This Row],[Payment Limit 2016Q1]]/Table5[[#This Row],[HCPCS code dosage 2016Q1]], "")</f>
        <v>6.3100000000000003E-2</v>
      </c>
      <c r="G71" s="286" t="s">
        <v>1221</v>
      </c>
      <c r="H71" s="286">
        <v>10</v>
      </c>
      <c r="I71" s="307" t="s">
        <v>1470</v>
      </c>
      <c r="J71" s="292">
        <f>IFERROR(VLOOKUP(Table5[[#This Row],[HCPCS code 2016 Q3]], ASP2016Q3[], 4, FALSE), "")</f>
        <v>0.71599999999999997</v>
      </c>
      <c r="K71" s="303">
        <f>IFERROR(Table5[[#This Row],[Payment Limit 2016Q3]]/Table5[[#This Row],[HCPCS code dosage 2016Q3]], "")</f>
        <v>7.1599999999999997E-2</v>
      </c>
      <c r="L71" s="286" t="s">
        <v>1221</v>
      </c>
      <c r="M71" s="286">
        <v>10</v>
      </c>
      <c r="N71" s="307" t="s">
        <v>1470</v>
      </c>
      <c r="O71" s="291">
        <f>IFERROR(VLOOKUP(Table5[[#This Row],[HCPCS code 2017 Q1]], ASP2017Q1[], 4, FALSE), "")</f>
        <v>0.62</v>
      </c>
      <c r="P71" s="302">
        <f>IFERROR(Table5[[#This Row],[Payment Limit 2017Q1]]/Table5[[#This Row],[HCPCS code dosage 2017Q1]], "")</f>
        <v>6.2E-2</v>
      </c>
      <c r="Q71" s="275" t="s">
        <v>1221</v>
      </c>
      <c r="R71" s="275">
        <v>10</v>
      </c>
      <c r="S71" s="275" t="s">
        <v>1470</v>
      </c>
      <c r="T71" s="279">
        <f>IFERROR(VLOOKUP(Table5[[#This Row],[HCPCS code 2017 Q3]], ASP2017Q3[], 4, FALSE), "")</f>
        <v>0.58499999999999996</v>
      </c>
      <c r="U71" s="279">
        <f>IFERROR(Table5[[#This Row],[Payment Limit 2017Q3]]/Table5[[#This Row],[HCPCS code dosage 2017Q3]], "")</f>
        <v>5.8499999999999996E-2</v>
      </c>
      <c r="V71" s="374" t="s">
        <v>1221</v>
      </c>
      <c r="W71" s="377">
        <v>10</v>
      </c>
      <c r="X71" s="142" t="s">
        <v>1470</v>
      </c>
      <c r="Y71" s="279">
        <v>0.60899999999999999</v>
      </c>
      <c r="Z71" s="370">
        <f>IFERROR(Table5[[#This Row],[Payment Limit 2018 Q1]]/Table5[[#This Row],[HCPCS code dosage 2018 Q1]],"")</f>
        <v>6.0899999999999996E-2</v>
      </c>
      <c r="AA71" s="374" t="s">
        <v>1221</v>
      </c>
      <c r="AB71" s="381">
        <v>10</v>
      </c>
      <c r="AC71" s="142" t="s">
        <v>1470</v>
      </c>
      <c r="AD71" s="378">
        <v>1.351</v>
      </c>
      <c r="AE71" s="370">
        <f>IFERROR(Table5[[#This Row],[Payment Limit 2018 Q3]]/Table5[[#This Row],[HCPCS code dosage 2018 Q3]],"")</f>
        <v>0.1351</v>
      </c>
      <c r="AF71" s="275" t="s">
        <v>1221</v>
      </c>
      <c r="AG71" s="122">
        <v>6.9599999999999995E-2</v>
      </c>
      <c r="AH71" s="117" t="s">
        <v>1221</v>
      </c>
      <c r="AI71" s="118" t="s">
        <v>1664</v>
      </c>
      <c r="AJ71" s="118" t="s">
        <v>1470</v>
      </c>
      <c r="AK71" s="115">
        <f>IFERROR(VLOOKUP(Table5[[#This Row],[HCPCS code 2019Q3]], ASP2019Q3[], 4, FALSE), "")</f>
        <v>0.622</v>
      </c>
      <c r="AL71" s="72">
        <f>IFERROR(Table5[[#This Row],[Payment Limit 2019Q3]]/Table5[[#This Row],[HCPCS code dosage 2019Q3]], "")</f>
        <v>6.2199999999999998E-2</v>
      </c>
      <c r="AM71" s="130" t="s">
        <v>1221</v>
      </c>
      <c r="AN71" s="130" t="s">
        <v>1664</v>
      </c>
      <c r="AO71" s="130" t="s">
        <v>1470</v>
      </c>
      <c r="AP71" s="126">
        <f>IFERROR(VLOOKUP(Table5[[#This Row],[HCPCS code 2020Q1]], ASP2020Q1[], 4, FALSE), "")</f>
        <v>0.61899999999999999</v>
      </c>
      <c r="AQ71" s="77">
        <f>IFERROR(Table5[[#This Row],[Payment Limit 2020Q1]]/Table5[[#This Row],[HCPCS code dosage 2020Q1]], "")</f>
        <v>6.1899999999999997E-2</v>
      </c>
      <c r="AR71" s="133" t="s">
        <v>1221</v>
      </c>
      <c r="AS71" s="130" t="s">
        <v>1664</v>
      </c>
      <c r="AT71" s="130" t="s">
        <v>1470</v>
      </c>
      <c r="AU71" s="132">
        <f>IFERROR(VLOOKUP(Table5[[#This Row],[HCPCS code 2020Q3]], ASP2020Q3[], 4, FALSE), "")</f>
        <v>0.60199999999999998</v>
      </c>
      <c r="AV71" s="72">
        <f>IFERROR(Table5[[#This Row],[Payment limit 2020Q3]]/Table5[[#This Row],[HCPCS code dosage 2020Q3]],"")</f>
        <v>6.0199999999999997E-2</v>
      </c>
      <c r="AW71" s="144" t="s">
        <v>1221</v>
      </c>
      <c r="AX71" s="118" t="s">
        <v>1664</v>
      </c>
      <c r="AY71" s="144" t="s">
        <v>1470</v>
      </c>
      <c r="AZ71" s="144">
        <f>IFERROR(VLOOKUP(Table5[[#This Row],[HCPCS code 2021Q1]], ASP2021Q1[], 4, FALSE), "")</f>
        <v>0.74399999999999999</v>
      </c>
      <c r="BA71" s="122">
        <f>IFERROR(Table5[[#This Row],[Payment limit 2021Q1]]/Table5[[#This Row],[HCPCS code dosage 2021Q1]], "")</f>
        <v>7.4399999999999994E-2</v>
      </c>
      <c r="BB71" s="147" t="s">
        <v>1221</v>
      </c>
      <c r="BC71" s="118" t="s">
        <v>1664</v>
      </c>
      <c r="BD71" s="144" t="s">
        <v>1470</v>
      </c>
      <c r="BE71" s="144">
        <f>IFERROR(VLOOKUP(Table5[[#This Row],[HCPCS code 2021Q3]], ASP2021Q3[], 4, FALSE), "")</f>
        <v>0.71099999999999997</v>
      </c>
      <c r="BF71" s="122">
        <f>IFERROR(Table5[[#This Row],[Payment limit 2021Q3]]/Table5[[#This Row],[HCPCS code dosage 2021Q3]], "")</f>
        <v>7.1099999999999997E-2</v>
      </c>
      <c r="BG71" s="147" t="s">
        <v>1221</v>
      </c>
      <c r="BH71" s="118" t="s">
        <v>1664</v>
      </c>
      <c r="BI71" s="144" t="s">
        <v>1470</v>
      </c>
      <c r="BJ71" s="144">
        <f>IFERROR(VLOOKUP(Table5[[#This Row],[HCPCS code 2022Q1]], ASP2022Q1[], 4, FALSE), "")</f>
        <v>0.75800000000000001</v>
      </c>
      <c r="BK71" s="122">
        <f>IFERROR(Table5[[#This Row],[Payment limit 2022Q1]]/Table5[[#This Row],[HCPCS code dosage 2022Q1]], "")</f>
        <v>7.5800000000000006E-2</v>
      </c>
      <c r="BL71" s="144" t="s">
        <v>1221</v>
      </c>
      <c r="BM71" s="184">
        <v>10</v>
      </c>
      <c r="BN71" s="144" t="s">
        <v>1470</v>
      </c>
      <c r="BO71" s="144">
        <f>IFERROR(VLOOKUP(Table5[[#This Row],[HCPCS Code 2022Q3]], ASP2022Q3[], 4, FALSE), "")</f>
        <v>0.80300000000000005</v>
      </c>
      <c r="BP71" s="122">
        <f>IFERROR(Table5[[#This Row],[Payment limit 2022Q3]]/Table5[[#This Row],[HCPCS code dosage 2022Q3]], "")</f>
        <v>8.030000000000001E-2</v>
      </c>
      <c r="BQ71" s="144" t="s">
        <v>1221</v>
      </c>
      <c r="BR71" s="118">
        <v>10</v>
      </c>
      <c r="BS71" s="144" t="s">
        <v>1470</v>
      </c>
      <c r="BT71" s="144">
        <v>0.89400000000000002</v>
      </c>
      <c r="BU71" s="144">
        <f>IFERROR(Table5[[#This Row],[Payment limit 2023Q1]]/Table5[[#This Row],[HCPCS code dosage 2023Q1]], "")</f>
        <v>8.9400000000000007E-2</v>
      </c>
      <c r="BV71" s="79"/>
    </row>
    <row r="72" spans="1:74" x14ac:dyDescent="0.3">
      <c r="A72" s="62" t="s">
        <v>189</v>
      </c>
      <c r="B72" s="286" t="s">
        <v>1221</v>
      </c>
      <c r="C72" s="286">
        <v>10</v>
      </c>
      <c r="D72" s="307" t="s">
        <v>1470</v>
      </c>
      <c r="E72" s="292">
        <f>IFERROR(VLOOKUP(Table5[[#This Row],[HCPCS code 2016 Q1]], ASP2016Q1[], 4, FALSE), "")</f>
        <v>0.63100000000000001</v>
      </c>
      <c r="F72" s="303">
        <f>IFERROR(Table5[[#This Row],[Payment Limit 2016Q1]]/Table5[[#This Row],[HCPCS code dosage 2016Q1]], "")</f>
        <v>6.3100000000000003E-2</v>
      </c>
      <c r="G72" s="286" t="s">
        <v>1221</v>
      </c>
      <c r="H72" s="286">
        <v>10</v>
      </c>
      <c r="I72" s="307" t="s">
        <v>1470</v>
      </c>
      <c r="J72" s="292">
        <f>IFERROR(VLOOKUP(Table5[[#This Row],[HCPCS code 2016 Q3]], ASP2016Q3[], 4, FALSE), "")</f>
        <v>0.71599999999999997</v>
      </c>
      <c r="K72" s="303">
        <f>IFERROR(Table5[[#This Row],[Payment Limit 2016Q3]]/Table5[[#This Row],[HCPCS code dosage 2016Q3]], "")</f>
        <v>7.1599999999999997E-2</v>
      </c>
      <c r="L72" s="286" t="s">
        <v>1221</v>
      </c>
      <c r="M72" s="286">
        <v>10</v>
      </c>
      <c r="N72" s="307" t="s">
        <v>1470</v>
      </c>
      <c r="O72" s="291">
        <f>IFERROR(VLOOKUP(Table5[[#This Row],[HCPCS code 2017 Q1]], ASP2017Q1[], 4, FALSE), "")</f>
        <v>0.62</v>
      </c>
      <c r="P72" s="302">
        <f>IFERROR(Table5[[#This Row],[Payment Limit 2017Q1]]/Table5[[#This Row],[HCPCS code dosage 2017Q1]], "")</f>
        <v>6.2E-2</v>
      </c>
      <c r="Q72" s="275" t="s">
        <v>1221</v>
      </c>
      <c r="R72" s="275">
        <v>10</v>
      </c>
      <c r="S72" s="275" t="s">
        <v>1470</v>
      </c>
      <c r="T72" s="279">
        <f>IFERROR(VLOOKUP(Table5[[#This Row],[HCPCS code 2017 Q3]], ASP2017Q3[], 4, FALSE), "")</f>
        <v>0.58499999999999996</v>
      </c>
      <c r="U72" s="279">
        <f>IFERROR(Table5[[#This Row],[Payment Limit 2017Q3]]/Table5[[#This Row],[HCPCS code dosage 2017Q3]], "")</f>
        <v>5.8499999999999996E-2</v>
      </c>
      <c r="V72" s="374" t="s">
        <v>1221</v>
      </c>
      <c r="W72" s="377">
        <v>10</v>
      </c>
      <c r="X72" s="142" t="s">
        <v>1470</v>
      </c>
      <c r="Y72" s="279">
        <v>0.60899999999999999</v>
      </c>
      <c r="Z72" s="370">
        <f>IFERROR(Table5[[#This Row],[Payment Limit 2018 Q1]]/Table5[[#This Row],[HCPCS code dosage 2018 Q1]],"")</f>
        <v>6.0899999999999996E-2</v>
      </c>
      <c r="AA72" s="374" t="s">
        <v>1221</v>
      </c>
      <c r="AB72" s="381">
        <v>10</v>
      </c>
      <c r="AC72" s="142" t="s">
        <v>1470</v>
      </c>
      <c r="AD72" s="378">
        <v>1.351</v>
      </c>
      <c r="AE72" s="370">
        <f>IFERROR(Table5[[#This Row],[Payment Limit 2018 Q3]]/Table5[[#This Row],[HCPCS code dosage 2018 Q3]],"")</f>
        <v>0.1351</v>
      </c>
      <c r="AF72" s="275" t="s">
        <v>1221</v>
      </c>
      <c r="AG72" s="122">
        <v>6.9599999999999995E-2</v>
      </c>
      <c r="AH72" s="117" t="s">
        <v>1221</v>
      </c>
      <c r="AI72" s="118" t="s">
        <v>1664</v>
      </c>
      <c r="AJ72" s="118" t="s">
        <v>1470</v>
      </c>
      <c r="AK72" s="115">
        <f>IFERROR(VLOOKUP(Table5[[#This Row],[HCPCS code 2019Q3]], ASP2019Q3[], 4, FALSE), "")</f>
        <v>0.622</v>
      </c>
      <c r="AL72" s="72">
        <f>IFERROR(Table5[[#This Row],[Payment Limit 2019Q3]]/Table5[[#This Row],[HCPCS code dosage 2019Q3]], "")</f>
        <v>6.2199999999999998E-2</v>
      </c>
      <c r="AM72" s="130" t="s">
        <v>1221</v>
      </c>
      <c r="AN72" s="130" t="s">
        <v>1664</v>
      </c>
      <c r="AO72" s="130" t="s">
        <v>1470</v>
      </c>
      <c r="AP72" s="126">
        <f>IFERROR(VLOOKUP(Table5[[#This Row],[HCPCS code 2020Q1]], ASP2020Q1[], 4, FALSE), "")</f>
        <v>0.61899999999999999</v>
      </c>
      <c r="AQ72" s="77">
        <f>IFERROR(Table5[[#This Row],[Payment Limit 2020Q1]]/Table5[[#This Row],[HCPCS code dosage 2020Q1]], "")</f>
        <v>6.1899999999999997E-2</v>
      </c>
      <c r="AR72" s="133" t="s">
        <v>1221</v>
      </c>
      <c r="AS72" s="130" t="s">
        <v>1664</v>
      </c>
      <c r="AT72" s="130" t="s">
        <v>1470</v>
      </c>
      <c r="AU72" s="132">
        <f>IFERROR(VLOOKUP(Table5[[#This Row],[HCPCS code 2020Q3]], ASP2020Q3[], 4, FALSE), "")</f>
        <v>0.60199999999999998</v>
      </c>
      <c r="AV72" s="72">
        <f>IFERROR(Table5[[#This Row],[Payment limit 2020Q3]]/Table5[[#This Row],[HCPCS code dosage 2020Q3]],"")</f>
        <v>6.0199999999999997E-2</v>
      </c>
      <c r="AW72" s="144" t="s">
        <v>1221</v>
      </c>
      <c r="AX72" s="118" t="s">
        <v>1664</v>
      </c>
      <c r="AY72" s="144" t="s">
        <v>1470</v>
      </c>
      <c r="AZ72" s="144">
        <f>IFERROR(VLOOKUP(Table5[[#This Row],[HCPCS code 2021Q1]], ASP2021Q1[], 4, FALSE), "")</f>
        <v>0.74399999999999999</v>
      </c>
      <c r="BA72" s="122">
        <f>IFERROR(Table5[[#This Row],[Payment limit 2021Q1]]/Table5[[#This Row],[HCPCS code dosage 2021Q1]], "")</f>
        <v>7.4399999999999994E-2</v>
      </c>
      <c r="BB72" s="147" t="s">
        <v>1221</v>
      </c>
      <c r="BC72" s="118" t="s">
        <v>1664</v>
      </c>
      <c r="BD72" s="144" t="s">
        <v>1470</v>
      </c>
      <c r="BE72" s="144">
        <f>IFERROR(VLOOKUP(Table5[[#This Row],[HCPCS code 2021Q3]], ASP2021Q3[], 4, FALSE), "")</f>
        <v>0.71099999999999997</v>
      </c>
      <c r="BF72" s="122">
        <f>IFERROR(Table5[[#This Row],[Payment limit 2021Q3]]/Table5[[#This Row],[HCPCS code dosage 2021Q3]], "")</f>
        <v>7.1099999999999997E-2</v>
      </c>
      <c r="BG72" s="147" t="s">
        <v>1221</v>
      </c>
      <c r="BH72" s="118" t="s">
        <v>1664</v>
      </c>
      <c r="BI72" s="144" t="s">
        <v>1470</v>
      </c>
      <c r="BJ72" s="144">
        <f>IFERROR(VLOOKUP(Table5[[#This Row],[HCPCS code 2022Q1]], ASP2022Q1[], 4, FALSE), "")</f>
        <v>0.75800000000000001</v>
      </c>
      <c r="BK72" s="122">
        <f>IFERROR(Table5[[#This Row],[Payment limit 2022Q1]]/Table5[[#This Row],[HCPCS code dosage 2022Q1]], "")</f>
        <v>7.5800000000000006E-2</v>
      </c>
      <c r="BL72" s="144" t="s">
        <v>1221</v>
      </c>
      <c r="BM72" s="184">
        <v>10</v>
      </c>
      <c r="BN72" s="144" t="s">
        <v>1470</v>
      </c>
      <c r="BO72" s="144">
        <f>IFERROR(VLOOKUP(Table5[[#This Row],[HCPCS Code 2022Q3]], ASP2022Q3[], 4, FALSE), "")</f>
        <v>0.80300000000000005</v>
      </c>
      <c r="BP72" s="122">
        <f>IFERROR(Table5[[#This Row],[Payment limit 2022Q3]]/Table5[[#This Row],[HCPCS code dosage 2022Q3]], "")</f>
        <v>8.030000000000001E-2</v>
      </c>
      <c r="BQ72" s="144" t="s">
        <v>1221</v>
      </c>
      <c r="BR72" s="118">
        <v>10</v>
      </c>
      <c r="BS72" s="144" t="s">
        <v>1470</v>
      </c>
      <c r="BT72" s="144">
        <v>0.89400000000000002</v>
      </c>
      <c r="BU72" s="144">
        <f>IFERROR(Table5[[#This Row],[Payment limit 2023Q1]]/Table5[[#This Row],[HCPCS code dosage 2023Q1]], "")</f>
        <v>8.9400000000000007E-2</v>
      </c>
      <c r="BV72" s="79"/>
    </row>
    <row r="73" spans="1:74" x14ac:dyDescent="0.3">
      <c r="A73" s="69" t="s">
        <v>1916</v>
      </c>
      <c r="B73" s="273"/>
      <c r="C73" s="273"/>
      <c r="D73" s="275"/>
      <c r="E73" s="280" t="str">
        <f>IFERROR(VLOOKUP(Table5[[#This Row],[HCPCS code 2016 Q1]], ASP2016Q1[], 4, FALSE), "")</f>
        <v/>
      </c>
      <c r="F73" s="305" t="str">
        <f>IFERROR(Table5[[#This Row],[Payment Limit 2016Q1]]/Table5[[#This Row],[HCPCS code dosage 2016Q1]], "")</f>
        <v/>
      </c>
      <c r="G73" s="273"/>
      <c r="H73" s="273"/>
      <c r="I73" s="275"/>
      <c r="J73" s="280" t="str">
        <f>IFERROR(VLOOKUP(Table5[[#This Row],[HCPCS code 2016 Q3]], ASP2016Q3[], 4, FALSE), "")</f>
        <v/>
      </c>
      <c r="K73" s="305" t="str">
        <f>IFERROR(Table5[[#This Row],[Payment Limit 2016Q3]]/Table5[[#This Row],[HCPCS code dosage 2016Q3]], "")</f>
        <v/>
      </c>
      <c r="L73" s="273"/>
      <c r="M73" s="273"/>
      <c r="N73" s="275"/>
      <c r="O73" s="291" t="str">
        <f>IFERROR(VLOOKUP(Table5[[#This Row],[HCPCS code 2017 Q1]], ASP2017Q1[], 4, FALSE), "")</f>
        <v/>
      </c>
      <c r="P73" s="302" t="str">
        <f>IFERROR(Table5[[#This Row],[Payment Limit 2017Q1]]/Table5[[#This Row],[HCPCS code dosage 2017Q1]], "")</f>
        <v/>
      </c>
      <c r="Q73" s="275" t="s">
        <v>1633</v>
      </c>
      <c r="R73" s="275" t="s">
        <v>2434</v>
      </c>
      <c r="S73" s="275"/>
      <c r="T73" s="279" t="str">
        <f>IFERROR(VLOOKUP(Table5[[#This Row],[HCPCS code 2017 Q3]], ASP2017Q3[], 4, FALSE), "")</f>
        <v/>
      </c>
      <c r="U73" s="279" t="str">
        <f>IFERROR(Table5[[#This Row],[Payment Limit 2017Q3]]/Table5[[#This Row],[HCPCS code dosage 2017Q3]], "")</f>
        <v/>
      </c>
      <c r="V73" s="374"/>
      <c r="W73" s="377"/>
      <c r="X73" s="142"/>
      <c r="Y73" s="279"/>
      <c r="Z73" s="370"/>
      <c r="AA73" s="374"/>
      <c r="AB73" s="381"/>
      <c r="AC73" s="142"/>
      <c r="AD73" s="378"/>
      <c r="AE73" s="370"/>
      <c r="AF73" s="275" t="s">
        <v>1633</v>
      </c>
      <c r="AG73" s="122"/>
      <c r="AH73" s="117" t="s">
        <v>1633</v>
      </c>
      <c r="AI73" s="118" t="s">
        <v>1665</v>
      </c>
      <c r="AJ73" s="118" t="s">
        <v>1470</v>
      </c>
      <c r="AK73" s="115" t="str">
        <f>IFERROR(VLOOKUP(Table5[[#This Row],[HCPCS code 2019Q3]], ASP2019Q3[], 4, FALSE), "")</f>
        <v/>
      </c>
      <c r="AL73" s="72" t="str">
        <f>IFERROR(Table5[[#This Row],[Payment Limit 2019Q3]]/Table5[[#This Row],[HCPCS code dosage 2019Q3]], "")</f>
        <v/>
      </c>
      <c r="AM73" s="130" t="s">
        <v>1633</v>
      </c>
      <c r="AN73" s="130" t="s">
        <v>1665</v>
      </c>
      <c r="AO73" s="130" t="s">
        <v>1470</v>
      </c>
      <c r="AP73" s="126" t="str">
        <f>IFERROR(VLOOKUP(Table5[[#This Row],[HCPCS code 2020Q1]], ASP2020Q1[], 4, FALSE), "")</f>
        <v/>
      </c>
      <c r="AQ73" s="77" t="str">
        <f>IFERROR(Table5[[#This Row],[Payment Limit 2020Q1]]/Table5[[#This Row],[HCPCS code dosage 2020Q1]], "")</f>
        <v/>
      </c>
      <c r="AR73" s="133" t="s">
        <v>1633</v>
      </c>
      <c r="AS73" s="130" t="s">
        <v>1665</v>
      </c>
      <c r="AT73" s="130" t="s">
        <v>1470</v>
      </c>
      <c r="AU73" s="132">
        <f>IFERROR(VLOOKUP(Table5[[#This Row],[HCPCS code 2020Q3]], ASP2020Q3[], 4, FALSE), "")</f>
        <v>24.19</v>
      </c>
      <c r="AV73" s="72">
        <f>IFERROR(Table5[[#This Row],[Payment limit 2020Q3]]/Table5[[#This Row],[HCPCS code dosage 2020Q3]],"")</f>
        <v>24.19</v>
      </c>
      <c r="AW73" s="144" t="s">
        <v>1633</v>
      </c>
      <c r="AX73" s="118" t="s">
        <v>1665</v>
      </c>
      <c r="AY73" s="144" t="s">
        <v>1470</v>
      </c>
      <c r="AZ73" s="144">
        <f>IFERROR(VLOOKUP(Table5[[#This Row],[HCPCS code 2021Q1]], ASP2021Q1[], 4, FALSE), "")</f>
        <v>24.131</v>
      </c>
      <c r="BA73" s="122">
        <f>IFERROR(Table5[[#This Row],[Payment limit 2021Q1]]/Table5[[#This Row],[HCPCS code dosage 2021Q1]], "")</f>
        <v>24.131</v>
      </c>
      <c r="BB73" s="147" t="s">
        <v>1633</v>
      </c>
      <c r="BC73" s="118" t="s">
        <v>1665</v>
      </c>
      <c r="BD73" s="144" t="s">
        <v>1470</v>
      </c>
      <c r="BE73" s="144">
        <f>IFERROR(VLOOKUP(Table5[[#This Row],[HCPCS code 2021Q3]], ASP2021Q3[], 4, FALSE), "")</f>
        <v>24.289000000000001</v>
      </c>
      <c r="BF73" s="122">
        <f>IFERROR(Table5[[#This Row],[Payment limit 2021Q3]]/Table5[[#This Row],[HCPCS code dosage 2021Q3]], "")</f>
        <v>24.289000000000001</v>
      </c>
      <c r="BG73" s="147" t="s">
        <v>1633</v>
      </c>
      <c r="BH73" s="118" t="s">
        <v>1665</v>
      </c>
      <c r="BI73" s="144" t="s">
        <v>1470</v>
      </c>
      <c r="BJ73" s="144">
        <f>IFERROR(VLOOKUP(Table5[[#This Row],[HCPCS code 2022Q1]], ASP2022Q1[], 4, FALSE), "")</f>
        <v>24.6</v>
      </c>
      <c r="BK73" s="122">
        <f>IFERROR(Table5[[#This Row],[Payment limit 2022Q1]]/Table5[[#This Row],[HCPCS code dosage 2022Q1]], "")</f>
        <v>24.6</v>
      </c>
      <c r="BL73" s="144" t="s">
        <v>1633</v>
      </c>
      <c r="BM73" s="184">
        <v>1</v>
      </c>
      <c r="BN73" s="144" t="s">
        <v>1470</v>
      </c>
      <c r="BO73" s="144">
        <f>IFERROR(VLOOKUP(Table5[[#This Row],[HCPCS Code 2022Q3]], ASP2022Q3[], 4, FALSE), "")</f>
        <v>25.167000000000002</v>
      </c>
      <c r="BP73" s="122">
        <f>IFERROR(Table5[[#This Row],[Payment limit 2022Q3]]/Table5[[#This Row],[HCPCS code dosage 2022Q3]], "")</f>
        <v>25.167000000000002</v>
      </c>
      <c r="BQ73" s="144" t="s">
        <v>1633</v>
      </c>
      <c r="BR73" s="118">
        <v>1</v>
      </c>
      <c r="BS73" s="144" t="s">
        <v>1470</v>
      </c>
      <c r="BT73" s="144">
        <v>25.719000000000001</v>
      </c>
      <c r="BU73" s="144">
        <f>IFERROR(Table5[[#This Row],[Payment limit 2023Q1]]/Table5[[#This Row],[HCPCS code dosage 2023Q1]], "")</f>
        <v>25.719000000000001</v>
      </c>
      <c r="BV73" s="79"/>
    </row>
    <row r="74" spans="1:74" x14ac:dyDescent="0.3">
      <c r="A74" s="62" t="s">
        <v>174</v>
      </c>
      <c r="B74" s="286" t="s">
        <v>558</v>
      </c>
      <c r="C74" s="286">
        <v>1E-3</v>
      </c>
      <c r="D74" s="307" t="s">
        <v>1470</v>
      </c>
      <c r="E74" s="292">
        <f>IFERROR(VLOOKUP(Table5[[#This Row],[HCPCS code 2016 Q1]], ASP2016Q1[], 4, FALSE), "")</f>
        <v>1.0069999999999999</v>
      </c>
      <c r="F74" s="303">
        <f>IFERROR(Table5[[#This Row],[Payment Limit 2016Q1]]/Table5[[#This Row],[HCPCS code dosage 2016Q1]], "")</f>
        <v>1006.9999999999999</v>
      </c>
      <c r="G74" s="286" t="s">
        <v>558</v>
      </c>
      <c r="H74" s="286">
        <v>1E-3</v>
      </c>
      <c r="I74" s="307" t="s">
        <v>1470</v>
      </c>
      <c r="J74" s="292">
        <f>IFERROR(VLOOKUP(Table5[[#This Row],[HCPCS code 2016 Q3]], ASP2016Q3[], 4, FALSE), "")</f>
        <v>1.0029999999999999</v>
      </c>
      <c r="K74" s="303">
        <f>IFERROR(Table5[[#This Row],[Payment Limit 2016Q3]]/Table5[[#This Row],[HCPCS code dosage 2016Q3]], "")</f>
        <v>1002.9999999999999</v>
      </c>
      <c r="L74" s="286" t="s">
        <v>558</v>
      </c>
      <c r="M74" s="286">
        <v>1E-3</v>
      </c>
      <c r="N74" s="307" t="s">
        <v>1470</v>
      </c>
      <c r="O74" s="291">
        <f>IFERROR(VLOOKUP(Table5[[#This Row],[HCPCS code 2017 Q1]], ASP2017Q1[], 4, FALSE), "")</f>
        <v>1.0009999999999999</v>
      </c>
      <c r="P74" s="302">
        <f>IFERROR(Table5[[#This Row],[Payment Limit 2017Q1]]/Table5[[#This Row],[HCPCS code dosage 2017Q1]], "")</f>
        <v>1000.9999999999999</v>
      </c>
      <c r="Q74" s="275" t="s">
        <v>558</v>
      </c>
      <c r="R74" s="118">
        <v>1E-3</v>
      </c>
      <c r="S74" s="275" t="s">
        <v>1470</v>
      </c>
      <c r="T74" s="279">
        <f>IFERROR(VLOOKUP(Table5[[#This Row],[HCPCS code 2017 Q3]], ASP2017Q3[], 4, FALSE), "")</f>
        <v>1.008</v>
      </c>
      <c r="U74" s="279">
        <f>IFERROR(Table5[[#This Row],[Payment Limit 2017Q3]]/Table5[[#This Row],[HCPCS code dosage 2017Q3]], "")</f>
        <v>1008</v>
      </c>
      <c r="V74" s="374" t="s">
        <v>558</v>
      </c>
      <c r="W74" s="377">
        <v>1E-3</v>
      </c>
      <c r="X74" s="142" t="s">
        <v>1470</v>
      </c>
      <c r="Y74" s="279">
        <v>1.002</v>
      </c>
      <c r="Z74" s="370">
        <f>IFERROR(Table5[[#This Row],[Payment Limit 2018 Q1]]/Table5[[#This Row],[HCPCS code dosage 2018 Q1]],"")</f>
        <v>1002</v>
      </c>
      <c r="AA74" s="374" t="s">
        <v>558</v>
      </c>
      <c r="AB74" s="381">
        <v>1E-3</v>
      </c>
      <c r="AC74" s="142" t="s">
        <v>1470</v>
      </c>
      <c r="AD74" s="378">
        <v>1.0229999999999999</v>
      </c>
      <c r="AE74" s="370">
        <f>IFERROR(Table5[[#This Row],[Payment Limit 2018 Q3]]/Table5[[#This Row],[HCPCS code dosage 2018 Q3]],"")</f>
        <v>1022.9999999999999</v>
      </c>
      <c r="AF74" s="275" t="s">
        <v>558</v>
      </c>
      <c r="AG74" s="122">
        <v>1004</v>
      </c>
      <c r="AH74" s="117" t="s">
        <v>558</v>
      </c>
      <c r="AI74" s="118">
        <v>1E-3</v>
      </c>
      <c r="AJ74" s="118" t="s">
        <v>1470</v>
      </c>
      <c r="AK74" s="115">
        <f>IFERROR(VLOOKUP(Table5[[#This Row],[HCPCS code 2019Q3]], ASP2019Q3[], 4, FALSE), "")</f>
        <v>0.97899999999999998</v>
      </c>
      <c r="AL74" s="72">
        <f>IFERROR(Table5[[#This Row],[Payment Limit 2019Q3]]/Table5[[#This Row],[HCPCS code dosage 2019Q3]], "")</f>
        <v>979</v>
      </c>
      <c r="AM74" s="130" t="s">
        <v>558</v>
      </c>
      <c r="AN74" s="130">
        <v>1E-3</v>
      </c>
      <c r="AO74" s="130" t="s">
        <v>1470</v>
      </c>
      <c r="AP74" s="126">
        <f>IFERROR(VLOOKUP(Table5[[#This Row],[HCPCS code 2020Q1]], ASP2020Q1[], 4, FALSE), "")</f>
        <v>0.95499999999999996</v>
      </c>
      <c r="AQ74" s="77">
        <f>IFERROR(Table5[[#This Row],[Payment Limit 2020Q1]]/Table5[[#This Row],[HCPCS code dosage 2020Q1]], "")</f>
        <v>954.99999999999989</v>
      </c>
      <c r="AR74" s="133" t="s">
        <v>558</v>
      </c>
      <c r="AS74" s="130">
        <v>1E-3</v>
      </c>
      <c r="AT74" s="130" t="s">
        <v>1470</v>
      </c>
      <c r="AU74" s="132">
        <f>IFERROR(VLOOKUP(Table5[[#This Row],[HCPCS code 2020Q3]], ASP2020Q3[], 4, FALSE), "")</f>
        <v>0.91800000000000004</v>
      </c>
      <c r="AV74" s="72">
        <f>IFERROR(Table5[[#This Row],[Payment limit 2020Q3]]/Table5[[#This Row],[HCPCS code dosage 2020Q3]],"")</f>
        <v>918</v>
      </c>
      <c r="AW74" s="144" t="s">
        <v>558</v>
      </c>
      <c r="AX74" s="118">
        <v>1E-3</v>
      </c>
      <c r="AY74" s="144" t="s">
        <v>1470</v>
      </c>
      <c r="AZ74" s="144">
        <f>IFERROR(VLOOKUP(Table5[[#This Row],[HCPCS code 2021Q1]], ASP2021Q1[], 4, FALSE), "")</f>
        <v>0.93799999999999994</v>
      </c>
      <c r="BA74" s="122">
        <f>IFERROR(Table5[[#This Row],[Payment limit 2021Q1]]/Table5[[#This Row],[HCPCS code dosage 2021Q1]], "")</f>
        <v>937.99999999999989</v>
      </c>
      <c r="BB74" s="147" t="s">
        <v>558</v>
      </c>
      <c r="BC74" s="118">
        <v>1E-3</v>
      </c>
      <c r="BD74" s="144" t="s">
        <v>1470</v>
      </c>
      <c r="BE74" s="144">
        <f>IFERROR(VLOOKUP(Table5[[#This Row],[HCPCS code 2021Q3]], ASP2021Q3[], 4, FALSE), "")</f>
        <v>0.96399999999999997</v>
      </c>
      <c r="BF74" s="122">
        <f>IFERROR(Table5[[#This Row],[Payment limit 2021Q3]]/Table5[[#This Row],[HCPCS code dosage 2021Q3]], "")</f>
        <v>964</v>
      </c>
      <c r="BG74" s="147" t="s">
        <v>558</v>
      </c>
      <c r="BH74" s="118">
        <v>1E-3</v>
      </c>
      <c r="BI74" s="144" t="s">
        <v>1470</v>
      </c>
      <c r="BJ74" s="144">
        <f>IFERROR(VLOOKUP(Table5[[#This Row],[HCPCS code 2022Q1]], ASP2022Q1[], 4, FALSE), "")</f>
        <v>0.98399999999999999</v>
      </c>
      <c r="BK74" s="122">
        <f>IFERROR(Table5[[#This Row],[Payment limit 2022Q1]]/Table5[[#This Row],[HCPCS code dosage 2022Q1]], "")</f>
        <v>984</v>
      </c>
      <c r="BL74" s="144" t="s">
        <v>558</v>
      </c>
      <c r="BM74" s="184">
        <v>1E-3</v>
      </c>
      <c r="BN74" s="144" t="s">
        <v>1470</v>
      </c>
      <c r="BO74" s="144">
        <f>IFERROR(VLOOKUP(Table5[[#This Row],[HCPCS Code 2022Q3]], ASP2022Q3[], 4, FALSE), "")</f>
        <v>0.996</v>
      </c>
      <c r="BP74" s="122">
        <f>IFERROR(Table5[[#This Row],[Payment limit 2022Q3]]/Table5[[#This Row],[HCPCS code dosage 2022Q3]], "")</f>
        <v>996</v>
      </c>
      <c r="BQ74" s="144" t="s">
        <v>558</v>
      </c>
      <c r="BR74" s="118">
        <v>1</v>
      </c>
      <c r="BS74" s="144" t="s">
        <v>2369</v>
      </c>
      <c r="BT74" s="144">
        <v>0.98</v>
      </c>
      <c r="BU74" s="144">
        <f>IFERROR(Table5[[#This Row],[Payment limit 2023Q1]]/Table5[[#This Row],[HCPCS code dosage 2023Q1]], "")</f>
        <v>0.98</v>
      </c>
      <c r="BV74" s="79"/>
    </row>
    <row r="75" spans="1:74" x14ac:dyDescent="0.3">
      <c r="A75" s="62" t="s">
        <v>141</v>
      </c>
      <c r="B75" s="286" t="s">
        <v>1223</v>
      </c>
      <c r="C75" s="286">
        <v>50</v>
      </c>
      <c r="D75" s="307" t="s">
        <v>1470</v>
      </c>
      <c r="E75" s="292">
        <f>IFERROR(VLOOKUP(Table5[[#This Row],[HCPCS code 2016 Q1]], ASP2016Q1[], 4, FALSE), "")</f>
        <v>67.393000000000001</v>
      </c>
      <c r="F75" s="303">
        <f>IFERROR(Table5[[#This Row],[Payment Limit 2016Q1]]/Table5[[#This Row],[HCPCS code dosage 2016Q1]], "")</f>
        <v>1.3478600000000001</v>
      </c>
      <c r="G75" s="286" t="s">
        <v>1223</v>
      </c>
      <c r="H75" s="286">
        <v>50</v>
      </c>
      <c r="I75" s="307" t="s">
        <v>1470</v>
      </c>
      <c r="J75" s="292">
        <f>IFERROR(VLOOKUP(Table5[[#This Row],[HCPCS code 2016 Q3]], ASP2016Q3[], 4, FALSE), "")</f>
        <v>64.44</v>
      </c>
      <c r="K75" s="303">
        <f>IFERROR(Table5[[#This Row],[Payment Limit 2016Q3]]/Table5[[#This Row],[HCPCS code dosage 2016Q3]], "")</f>
        <v>1.2887999999999999</v>
      </c>
      <c r="L75" s="286" t="s">
        <v>1223</v>
      </c>
      <c r="M75" s="286">
        <v>50</v>
      </c>
      <c r="N75" s="307" t="s">
        <v>1470</v>
      </c>
      <c r="O75" s="291">
        <f>IFERROR(VLOOKUP(Table5[[#This Row],[HCPCS code 2017 Q1]], ASP2017Q1[], 4, FALSE), "")</f>
        <v>59.676000000000002</v>
      </c>
      <c r="P75" s="302">
        <f>IFERROR(Table5[[#This Row],[Payment Limit 2017Q1]]/Table5[[#This Row],[HCPCS code dosage 2017Q1]], "")</f>
        <v>1.1935200000000001</v>
      </c>
      <c r="Q75" s="275" t="s">
        <v>1223</v>
      </c>
      <c r="R75" s="275">
        <v>50</v>
      </c>
      <c r="S75" s="275" t="s">
        <v>1470</v>
      </c>
      <c r="T75" s="279">
        <f>IFERROR(VLOOKUP(Table5[[#This Row],[HCPCS code 2017 Q3]], ASP2017Q3[], 4, FALSE), "")</f>
        <v>76.8</v>
      </c>
      <c r="U75" s="279">
        <f>IFERROR(Table5[[#This Row],[Payment Limit 2017Q3]]/Table5[[#This Row],[HCPCS code dosage 2017Q3]], "")</f>
        <v>1.536</v>
      </c>
      <c r="V75" s="374" t="s">
        <v>1223</v>
      </c>
      <c r="W75" s="377">
        <v>50</v>
      </c>
      <c r="X75" s="142" t="s">
        <v>1470</v>
      </c>
      <c r="Y75" s="279">
        <v>84.691000000000003</v>
      </c>
      <c r="Z75" s="370">
        <f>IFERROR(Table5[[#This Row],[Payment Limit 2018 Q1]]/Table5[[#This Row],[HCPCS code dosage 2018 Q1]],"")</f>
        <v>1.6938200000000001</v>
      </c>
      <c r="AA75" s="374" t="s">
        <v>1223</v>
      </c>
      <c r="AB75" s="381">
        <v>50</v>
      </c>
      <c r="AC75" s="142" t="s">
        <v>1470</v>
      </c>
      <c r="AD75" s="378">
        <v>74.277000000000001</v>
      </c>
      <c r="AE75" s="370">
        <f>IFERROR(Table5[[#This Row],[Payment Limit 2018 Q3]]/Table5[[#This Row],[HCPCS code dosage 2018 Q3]],"")</f>
        <v>1.4855400000000001</v>
      </c>
      <c r="AF75" s="275" t="s">
        <v>1223</v>
      </c>
      <c r="AG75" s="122">
        <v>1.59026</v>
      </c>
      <c r="AH75" s="117" t="s">
        <v>1223</v>
      </c>
      <c r="AI75" s="118" t="s">
        <v>1676</v>
      </c>
      <c r="AJ75" s="118" t="s">
        <v>1470</v>
      </c>
      <c r="AK75" s="115">
        <f>IFERROR(VLOOKUP(Table5[[#This Row],[HCPCS code 2019Q3]], ASP2019Q3[], 4, FALSE), "")</f>
        <v>59.725000000000001</v>
      </c>
      <c r="AL75" s="72">
        <f>IFERROR(Table5[[#This Row],[Payment Limit 2019Q3]]/Table5[[#This Row],[HCPCS code dosage 2019Q3]], "")</f>
        <v>1.1945000000000001</v>
      </c>
      <c r="AM75" s="130" t="s">
        <v>1223</v>
      </c>
      <c r="AN75" s="130" t="s">
        <v>1676</v>
      </c>
      <c r="AO75" s="130" t="s">
        <v>1470</v>
      </c>
      <c r="AP75" s="126">
        <f>IFERROR(VLOOKUP(Table5[[#This Row],[HCPCS code 2020Q1]], ASP2020Q1[], 4, FALSE), "")</f>
        <v>47.887999999999998</v>
      </c>
      <c r="AQ75" s="77">
        <f>IFERROR(Table5[[#This Row],[Payment Limit 2020Q1]]/Table5[[#This Row],[HCPCS code dosage 2020Q1]], "")</f>
        <v>0.95775999999999994</v>
      </c>
      <c r="AR75" s="133" t="s">
        <v>1223</v>
      </c>
      <c r="AS75" s="130" t="s">
        <v>1676</v>
      </c>
      <c r="AT75" s="130" t="s">
        <v>1470</v>
      </c>
      <c r="AU75" s="132">
        <f>IFERROR(VLOOKUP(Table5[[#This Row],[HCPCS code 2020Q3]], ASP2020Q3[], 4, FALSE), "")</f>
        <v>50.743000000000002</v>
      </c>
      <c r="AV75" s="72">
        <f>IFERROR(Table5[[#This Row],[Payment limit 2020Q3]]/Table5[[#This Row],[HCPCS code dosage 2020Q3]],"")</f>
        <v>1.0148600000000001</v>
      </c>
      <c r="AW75" s="144" t="s">
        <v>1223</v>
      </c>
      <c r="AX75" s="118" t="s">
        <v>1676</v>
      </c>
      <c r="AY75" s="144" t="s">
        <v>1470</v>
      </c>
      <c r="AZ75" s="144">
        <f>IFERROR(VLOOKUP(Table5[[#This Row],[HCPCS code 2021Q1]], ASP2021Q1[], 4, FALSE), "")</f>
        <v>47.529000000000003</v>
      </c>
      <c r="BA75" s="122">
        <f>IFERROR(Table5[[#This Row],[Payment limit 2021Q1]]/Table5[[#This Row],[HCPCS code dosage 2021Q1]], "")</f>
        <v>0.95058000000000009</v>
      </c>
      <c r="BB75" s="147" t="s">
        <v>1223</v>
      </c>
      <c r="BC75" s="118" t="s">
        <v>1676</v>
      </c>
      <c r="BD75" s="144" t="s">
        <v>1470</v>
      </c>
      <c r="BE75" s="144">
        <f>IFERROR(VLOOKUP(Table5[[#This Row],[HCPCS code 2021Q3]], ASP2021Q3[], 4, FALSE), "")</f>
        <v>94.5</v>
      </c>
      <c r="BF75" s="122">
        <f>IFERROR(Table5[[#This Row],[Payment limit 2021Q3]]/Table5[[#This Row],[HCPCS code dosage 2021Q3]], "")</f>
        <v>1.89</v>
      </c>
      <c r="BG75" s="147" t="s">
        <v>1223</v>
      </c>
      <c r="BH75" s="118" t="s">
        <v>1676</v>
      </c>
      <c r="BI75" s="144" t="s">
        <v>1470</v>
      </c>
      <c r="BJ75" s="144">
        <f>IFERROR(VLOOKUP(Table5[[#This Row],[HCPCS code 2022Q1]], ASP2022Q1[], 4, FALSE), "")</f>
        <v>57.02</v>
      </c>
      <c r="BK75" s="122">
        <f>IFERROR(Table5[[#This Row],[Payment limit 2022Q1]]/Table5[[#This Row],[HCPCS code dosage 2022Q1]], "")</f>
        <v>1.1404000000000001</v>
      </c>
      <c r="BL75" s="144" t="s">
        <v>1223</v>
      </c>
      <c r="BM75" s="184">
        <v>50</v>
      </c>
      <c r="BN75" s="144" t="s">
        <v>1470</v>
      </c>
      <c r="BO75" s="144">
        <f>IFERROR(VLOOKUP(Table5[[#This Row],[HCPCS Code 2022Q3]], ASP2022Q3[], 4, FALSE), "")</f>
        <v>48.061999999999998</v>
      </c>
      <c r="BP75" s="122">
        <f>IFERROR(Table5[[#This Row],[Payment limit 2022Q3]]/Table5[[#This Row],[HCPCS code dosage 2022Q3]], "")</f>
        <v>0.96123999999999998</v>
      </c>
      <c r="BQ75" s="144" t="s">
        <v>1223</v>
      </c>
      <c r="BR75" s="118">
        <v>50</v>
      </c>
      <c r="BS75" s="144" t="s">
        <v>1470</v>
      </c>
      <c r="BT75" s="144">
        <v>105.6</v>
      </c>
      <c r="BU75" s="144">
        <f>IFERROR(Table5[[#This Row],[Payment limit 2023Q1]]/Table5[[#This Row],[HCPCS code dosage 2023Q1]], "")</f>
        <v>2.1120000000000001</v>
      </c>
      <c r="BV75" s="79"/>
    </row>
    <row r="76" spans="1:74" x14ac:dyDescent="0.3">
      <c r="A76" s="62" t="s">
        <v>65</v>
      </c>
      <c r="B76" s="286" t="s">
        <v>1225</v>
      </c>
      <c r="C76" s="286">
        <v>500</v>
      </c>
      <c r="D76" s="307" t="s">
        <v>1470</v>
      </c>
      <c r="E76" s="292">
        <f>IFERROR(VLOOKUP(Table5[[#This Row],[HCPCS code 2016 Q1]], ASP2016Q1[], 4, FALSE), "")</f>
        <v>1.8069999999999999</v>
      </c>
      <c r="F76" s="303">
        <f>IFERROR(Table5[[#This Row],[Payment Limit 2016Q1]]/Table5[[#This Row],[HCPCS code dosage 2016Q1]], "")</f>
        <v>3.614E-3</v>
      </c>
      <c r="G76" s="286" t="s">
        <v>1225</v>
      </c>
      <c r="H76" s="286">
        <v>500</v>
      </c>
      <c r="I76" s="307" t="s">
        <v>1470</v>
      </c>
      <c r="J76" s="292">
        <f>IFERROR(VLOOKUP(Table5[[#This Row],[HCPCS code 2016 Q3]], ASP2016Q3[], 4, FALSE), "")</f>
        <v>1.871</v>
      </c>
      <c r="K76" s="303">
        <f>IFERROR(Table5[[#This Row],[Payment Limit 2016Q3]]/Table5[[#This Row],[HCPCS code dosage 2016Q3]], "")</f>
        <v>3.7420000000000001E-3</v>
      </c>
      <c r="L76" s="286" t="s">
        <v>1225</v>
      </c>
      <c r="M76" s="286">
        <v>500</v>
      </c>
      <c r="N76" s="307" t="s">
        <v>1470</v>
      </c>
      <c r="O76" s="291">
        <f>IFERROR(VLOOKUP(Table5[[#This Row],[HCPCS code 2017 Q1]], ASP2017Q1[], 4, FALSE), "")</f>
        <v>1.6919999999999999</v>
      </c>
      <c r="P76" s="302">
        <f>IFERROR(Table5[[#This Row],[Payment Limit 2017Q1]]/Table5[[#This Row],[HCPCS code dosage 2017Q1]], "")</f>
        <v>3.3839999999999999E-3</v>
      </c>
      <c r="Q76" s="275" t="s">
        <v>1225</v>
      </c>
      <c r="R76" s="275">
        <v>500</v>
      </c>
      <c r="S76" s="275" t="s">
        <v>1470</v>
      </c>
      <c r="T76" s="279">
        <f>IFERROR(VLOOKUP(Table5[[#This Row],[HCPCS code 2017 Q3]], ASP2017Q3[], 4, FALSE), "")</f>
        <v>1.65</v>
      </c>
      <c r="U76" s="279">
        <f>IFERROR(Table5[[#This Row],[Payment Limit 2017Q3]]/Table5[[#This Row],[HCPCS code dosage 2017Q3]], "")</f>
        <v>3.3E-3</v>
      </c>
      <c r="V76" s="374" t="s">
        <v>1225</v>
      </c>
      <c r="W76" s="377">
        <v>500</v>
      </c>
      <c r="X76" s="142" t="s">
        <v>1470</v>
      </c>
      <c r="Y76" s="279">
        <v>1.518</v>
      </c>
      <c r="Z76" s="370">
        <f>IFERROR(Table5[[#This Row],[Payment Limit 2018 Q1]]/Table5[[#This Row],[HCPCS code dosage 2018 Q1]],"")</f>
        <v>3.0360000000000001E-3</v>
      </c>
      <c r="AA76" s="374" t="s">
        <v>1225</v>
      </c>
      <c r="AB76" s="381">
        <v>500</v>
      </c>
      <c r="AC76" s="142" t="s">
        <v>1470</v>
      </c>
      <c r="AD76" s="378">
        <v>1.738</v>
      </c>
      <c r="AE76" s="370">
        <f>IFERROR(Table5[[#This Row],[Payment Limit 2018 Q3]]/Table5[[#This Row],[HCPCS code dosage 2018 Q3]],"")</f>
        <v>3.4759999999999999E-3</v>
      </c>
      <c r="AF76" s="275" t="s">
        <v>1225</v>
      </c>
      <c r="AG76" s="122">
        <v>3.5819999999999997E-3</v>
      </c>
      <c r="AH76" s="117" t="s">
        <v>1225</v>
      </c>
      <c r="AI76" s="118" t="s">
        <v>1668</v>
      </c>
      <c r="AJ76" s="118" t="s">
        <v>1470</v>
      </c>
      <c r="AK76" s="115">
        <f>IFERROR(VLOOKUP(Table5[[#This Row],[HCPCS code 2019Q3]], ASP2019Q3[], 4, FALSE), "")</f>
        <v>1.8360000000000001</v>
      </c>
      <c r="AL76" s="72">
        <f>IFERROR(Table5[[#This Row],[Payment Limit 2019Q3]]/Table5[[#This Row],[HCPCS code dosage 2019Q3]], "")</f>
        <v>3.6720000000000004E-3</v>
      </c>
      <c r="AM76" s="130" t="s">
        <v>1225</v>
      </c>
      <c r="AN76" s="130" t="s">
        <v>1668</v>
      </c>
      <c r="AO76" s="130" t="s">
        <v>1470</v>
      </c>
      <c r="AP76" s="126">
        <f>IFERROR(VLOOKUP(Table5[[#This Row],[HCPCS code 2020Q1]], ASP2020Q1[], 4, FALSE), "")</f>
        <v>1.512</v>
      </c>
      <c r="AQ76" s="77">
        <f>IFERROR(Table5[[#This Row],[Payment Limit 2020Q1]]/Table5[[#This Row],[HCPCS code dosage 2020Q1]], "")</f>
        <v>3.0240000000000002E-3</v>
      </c>
      <c r="AR76" s="133" t="s">
        <v>1225</v>
      </c>
      <c r="AS76" s="130" t="s">
        <v>1668</v>
      </c>
      <c r="AT76" s="130" t="s">
        <v>1470</v>
      </c>
      <c r="AU76" s="132">
        <f>IFERROR(VLOOKUP(Table5[[#This Row],[HCPCS code 2020Q3]], ASP2020Q3[], 4, FALSE), "")</f>
        <v>1.5880000000000001</v>
      </c>
      <c r="AV76" s="72">
        <f>IFERROR(Table5[[#This Row],[Payment limit 2020Q3]]/Table5[[#This Row],[HCPCS code dosage 2020Q3]],"")</f>
        <v>3.176E-3</v>
      </c>
      <c r="AW76" s="144" t="s">
        <v>1225</v>
      </c>
      <c r="AX76" s="118" t="s">
        <v>1668</v>
      </c>
      <c r="AY76" s="144" t="s">
        <v>1470</v>
      </c>
      <c r="AZ76" s="144">
        <f>IFERROR(VLOOKUP(Table5[[#This Row],[HCPCS code 2021Q1]], ASP2021Q1[], 4, FALSE), "")</f>
        <v>1.6839999999999999</v>
      </c>
      <c r="BA76" s="122">
        <f>IFERROR(Table5[[#This Row],[Payment limit 2021Q1]]/Table5[[#This Row],[HCPCS code dosage 2021Q1]], "")</f>
        <v>3.3679999999999999E-3</v>
      </c>
      <c r="BB76" s="147" t="s">
        <v>1225</v>
      </c>
      <c r="BC76" s="118" t="s">
        <v>1668</v>
      </c>
      <c r="BD76" s="144" t="s">
        <v>1470</v>
      </c>
      <c r="BE76" s="144">
        <f>IFERROR(VLOOKUP(Table5[[#This Row],[HCPCS code 2021Q3]], ASP2021Q3[], 4, FALSE), "")</f>
        <v>1.5609999999999999</v>
      </c>
      <c r="BF76" s="122">
        <f>IFERROR(Table5[[#This Row],[Payment limit 2021Q3]]/Table5[[#This Row],[HCPCS code dosage 2021Q3]], "")</f>
        <v>3.1219999999999998E-3</v>
      </c>
      <c r="BG76" s="147" t="s">
        <v>1225</v>
      </c>
      <c r="BH76" s="118" t="s">
        <v>1668</v>
      </c>
      <c r="BI76" s="144" t="s">
        <v>1470</v>
      </c>
      <c r="BJ76" s="144">
        <f>IFERROR(VLOOKUP(Table5[[#This Row],[HCPCS code 2022Q1]], ASP2022Q1[], 4, FALSE), "")</f>
        <v>2.129</v>
      </c>
      <c r="BK76" s="122">
        <f>IFERROR(Table5[[#This Row],[Payment limit 2022Q1]]/Table5[[#This Row],[HCPCS code dosage 2022Q1]], "")</f>
        <v>4.2579999999999996E-3</v>
      </c>
      <c r="BL76" s="144" t="s">
        <v>1225</v>
      </c>
      <c r="BM76" s="184">
        <v>500</v>
      </c>
      <c r="BN76" s="144" t="s">
        <v>1470</v>
      </c>
      <c r="BO76" s="144">
        <f>IFERROR(VLOOKUP(Table5[[#This Row],[HCPCS Code 2022Q3]], ASP2022Q3[], 4, FALSE), "")</f>
        <v>2.1259999999999999</v>
      </c>
      <c r="BP76" s="122">
        <f>IFERROR(Table5[[#This Row],[Payment limit 2022Q3]]/Table5[[#This Row],[HCPCS code dosage 2022Q3]], "")</f>
        <v>4.2519999999999997E-3</v>
      </c>
      <c r="BQ76" s="144" t="s">
        <v>1225</v>
      </c>
      <c r="BR76" s="118">
        <v>500</v>
      </c>
      <c r="BS76" s="144" t="s">
        <v>1470</v>
      </c>
      <c r="BT76" s="144">
        <v>2.516</v>
      </c>
      <c r="BU76" s="144">
        <f>IFERROR(Table5[[#This Row],[Payment limit 2023Q1]]/Table5[[#This Row],[HCPCS code dosage 2023Q1]], "")</f>
        <v>5.032E-3</v>
      </c>
      <c r="BV76" s="79"/>
    </row>
    <row r="77" spans="1:74" x14ac:dyDescent="0.3">
      <c r="A77" s="62" t="s">
        <v>64</v>
      </c>
      <c r="B77" s="286" t="s">
        <v>1225</v>
      </c>
      <c r="C77" s="286">
        <v>500</v>
      </c>
      <c r="D77" s="307" t="s">
        <v>1470</v>
      </c>
      <c r="E77" s="292">
        <f>IFERROR(VLOOKUP(Table5[[#This Row],[HCPCS code 2016 Q1]], ASP2016Q1[], 4, FALSE), "")</f>
        <v>1.8069999999999999</v>
      </c>
      <c r="F77" s="303">
        <f>IFERROR(Table5[[#This Row],[Payment Limit 2016Q1]]/Table5[[#This Row],[HCPCS code dosage 2016Q1]], "")</f>
        <v>3.614E-3</v>
      </c>
      <c r="G77" s="286" t="s">
        <v>1225</v>
      </c>
      <c r="H77" s="286">
        <v>500</v>
      </c>
      <c r="I77" s="307" t="s">
        <v>1470</v>
      </c>
      <c r="J77" s="292">
        <f>IFERROR(VLOOKUP(Table5[[#This Row],[HCPCS code 2016 Q3]], ASP2016Q3[], 4, FALSE), "")</f>
        <v>1.871</v>
      </c>
      <c r="K77" s="303">
        <f>IFERROR(Table5[[#This Row],[Payment Limit 2016Q3]]/Table5[[#This Row],[HCPCS code dosage 2016Q3]], "")</f>
        <v>3.7420000000000001E-3</v>
      </c>
      <c r="L77" s="286" t="s">
        <v>1225</v>
      </c>
      <c r="M77" s="286">
        <v>500</v>
      </c>
      <c r="N77" s="307" t="s">
        <v>1470</v>
      </c>
      <c r="O77" s="291">
        <f>IFERROR(VLOOKUP(Table5[[#This Row],[HCPCS code 2017 Q1]], ASP2017Q1[], 4, FALSE), "")</f>
        <v>1.6919999999999999</v>
      </c>
      <c r="P77" s="302">
        <f>IFERROR(Table5[[#This Row],[Payment Limit 2017Q1]]/Table5[[#This Row],[HCPCS code dosage 2017Q1]], "")</f>
        <v>3.3839999999999999E-3</v>
      </c>
      <c r="Q77" s="275" t="s">
        <v>1225</v>
      </c>
      <c r="R77" s="275">
        <v>500</v>
      </c>
      <c r="S77" s="275" t="s">
        <v>1470</v>
      </c>
      <c r="T77" s="279">
        <f>IFERROR(VLOOKUP(Table5[[#This Row],[HCPCS code 2017 Q3]], ASP2017Q3[], 4, FALSE), "")</f>
        <v>1.65</v>
      </c>
      <c r="U77" s="279">
        <f>IFERROR(Table5[[#This Row],[Payment Limit 2017Q3]]/Table5[[#This Row],[HCPCS code dosage 2017Q3]], "")</f>
        <v>3.3E-3</v>
      </c>
      <c r="V77" s="374" t="s">
        <v>1225</v>
      </c>
      <c r="W77" s="377">
        <v>500</v>
      </c>
      <c r="X77" s="142" t="s">
        <v>1470</v>
      </c>
      <c r="Y77" s="279">
        <v>1.518</v>
      </c>
      <c r="Z77" s="370">
        <f>IFERROR(Table5[[#This Row],[Payment Limit 2018 Q1]]/Table5[[#This Row],[HCPCS code dosage 2018 Q1]],"")</f>
        <v>3.0360000000000001E-3</v>
      </c>
      <c r="AA77" s="374" t="s">
        <v>1225</v>
      </c>
      <c r="AB77" s="381">
        <v>500</v>
      </c>
      <c r="AC77" s="142" t="s">
        <v>1470</v>
      </c>
      <c r="AD77" s="378">
        <v>1.738</v>
      </c>
      <c r="AE77" s="370">
        <f>IFERROR(Table5[[#This Row],[Payment Limit 2018 Q3]]/Table5[[#This Row],[HCPCS code dosage 2018 Q3]],"")</f>
        <v>3.4759999999999999E-3</v>
      </c>
      <c r="AF77" s="275" t="s">
        <v>1225</v>
      </c>
      <c r="AG77" s="122">
        <v>3.5819999999999997E-3</v>
      </c>
      <c r="AH77" s="117" t="s">
        <v>1225</v>
      </c>
      <c r="AI77" s="118" t="s">
        <v>1668</v>
      </c>
      <c r="AJ77" s="118" t="s">
        <v>1470</v>
      </c>
      <c r="AK77" s="115">
        <f>IFERROR(VLOOKUP(Table5[[#This Row],[HCPCS code 2019Q3]], ASP2019Q3[], 4, FALSE), "")</f>
        <v>1.8360000000000001</v>
      </c>
      <c r="AL77" s="72">
        <f>IFERROR(Table5[[#This Row],[Payment Limit 2019Q3]]/Table5[[#This Row],[HCPCS code dosage 2019Q3]], "")</f>
        <v>3.6720000000000004E-3</v>
      </c>
      <c r="AM77" s="130" t="s">
        <v>1225</v>
      </c>
      <c r="AN77" s="130" t="s">
        <v>1668</v>
      </c>
      <c r="AO77" s="130" t="s">
        <v>1470</v>
      </c>
      <c r="AP77" s="126">
        <f>IFERROR(VLOOKUP(Table5[[#This Row],[HCPCS code 2020Q1]], ASP2020Q1[], 4, FALSE), "")</f>
        <v>1.512</v>
      </c>
      <c r="AQ77" s="77">
        <f>IFERROR(Table5[[#This Row],[Payment Limit 2020Q1]]/Table5[[#This Row],[HCPCS code dosage 2020Q1]], "")</f>
        <v>3.0240000000000002E-3</v>
      </c>
      <c r="AR77" s="133" t="s">
        <v>1225</v>
      </c>
      <c r="AS77" s="130" t="s">
        <v>1668</v>
      </c>
      <c r="AT77" s="130" t="s">
        <v>1470</v>
      </c>
      <c r="AU77" s="132">
        <f>IFERROR(VLOOKUP(Table5[[#This Row],[HCPCS code 2020Q3]], ASP2020Q3[], 4, FALSE), "")</f>
        <v>1.5880000000000001</v>
      </c>
      <c r="AV77" s="72">
        <f>IFERROR(Table5[[#This Row],[Payment limit 2020Q3]]/Table5[[#This Row],[HCPCS code dosage 2020Q3]],"")</f>
        <v>3.176E-3</v>
      </c>
      <c r="AW77" s="144" t="s">
        <v>1225</v>
      </c>
      <c r="AX77" s="118" t="s">
        <v>1668</v>
      </c>
      <c r="AY77" s="144" t="s">
        <v>1470</v>
      </c>
      <c r="AZ77" s="144">
        <f>IFERROR(VLOOKUP(Table5[[#This Row],[HCPCS code 2021Q1]], ASP2021Q1[], 4, FALSE), "")</f>
        <v>1.6839999999999999</v>
      </c>
      <c r="BA77" s="122">
        <f>IFERROR(Table5[[#This Row],[Payment limit 2021Q1]]/Table5[[#This Row],[HCPCS code dosage 2021Q1]], "")</f>
        <v>3.3679999999999999E-3</v>
      </c>
      <c r="BB77" s="147" t="s">
        <v>1225</v>
      </c>
      <c r="BC77" s="118" t="s">
        <v>1668</v>
      </c>
      <c r="BD77" s="144" t="s">
        <v>1470</v>
      </c>
      <c r="BE77" s="144">
        <f>IFERROR(VLOOKUP(Table5[[#This Row],[HCPCS code 2021Q3]], ASP2021Q3[], 4, FALSE), "")</f>
        <v>1.5609999999999999</v>
      </c>
      <c r="BF77" s="122">
        <f>IFERROR(Table5[[#This Row],[Payment limit 2021Q3]]/Table5[[#This Row],[HCPCS code dosage 2021Q3]], "")</f>
        <v>3.1219999999999998E-3</v>
      </c>
      <c r="BG77" s="147" t="s">
        <v>1225</v>
      </c>
      <c r="BH77" s="118" t="s">
        <v>1668</v>
      </c>
      <c r="BI77" s="144" t="s">
        <v>1470</v>
      </c>
      <c r="BJ77" s="144">
        <f>IFERROR(VLOOKUP(Table5[[#This Row],[HCPCS code 2022Q1]], ASP2022Q1[], 4, FALSE), "")</f>
        <v>2.129</v>
      </c>
      <c r="BK77" s="122">
        <f>IFERROR(Table5[[#This Row],[Payment limit 2022Q1]]/Table5[[#This Row],[HCPCS code dosage 2022Q1]], "")</f>
        <v>4.2579999999999996E-3</v>
      </c>
      <c r="BL77" s="144" t="s">
        <v>1225</v>
      </c>
      <c r="BM77" s="184">
        <v>500</v>
      </c>
      <c r="BN77" s="144" t="s">
        <v>1470</v>
      </c>
      <c r="BO77" s="144">
        <f>IFERROR(VLOOKUP(Table5[[#This Row],[HCPCS Code 2022Q3]], ASP2022Q3[], 4, FALSE), "")</f>
        <v>2.1259999999999999</v>
      </c>
      <c r="BP77" s="122">
        <f>IFERROR(Table5[[#This Row],[Payment limit 2022Q3]]/Table5[[#This Row],[HCPCS code dosage 2022Q3]], "")</f>
        <v>4.2519999999999997E-3</v>
      </c>
      <c r="BQ77" s="144" t="s">
        <v>1225</v>
      </c>
      <c r="BR77" s="118">
        <v>500</v>
      </c>
      <c r="BS77" s="144" t="s">
        <v>1470</v>
      </c>
      <c r="BT77" s="144">
        <v>2.516</v>
      </c>
      <c r="BU77" s="144">
        <f>IFERROR(Table5[[#This Row],[Payment limit 2023Q1]]/Table5[[#This Row],[HCPCS code dosage 2023Q1]], "")</f>
        <v>5.032E-3</v>
      </c>
      <c r="BV77" s="79"/>
    </row>
    <row r="78" spans="1:74" x14ac:dyDescent="0.3">
      <c r="A78" s="62" t="s">
        <v>164</v>
      </c>
      <c r="B78" s="286" t="s">
        <v>1225</v>
      </c>
      <c r="C78" s="286">
        <v>500</v>
      </c>
      <c r="D78" s="307" t="s">
        <v>1470</v>
      </c>
      <c r="E78" s="292">
        <f>IFERROR(VLOOKUP(Table5[[#This Row],[HCPCS code 2016 Q1]], ASP2016Q1[], 4, FALSE), "")</f>
        <v>1.8069999999999999</v>
      </c>
      <c r="F78" s="303">
        <f>IFERROR(Table5[[#This Row],[Payment Limit 2016Q1]]/Table5[[#This Row],[HCPCS code dosage 2016Q1]], "")</f>
        <v>3.614E-3</v>
      </c>
      <c r="G78" s="286" t="s">
        <v>1225</v>
      </c>
      <c r="H78" s="286">
        <v>500</v>
      </c>
      <c r="I78" s="307" t="s">
        <v>1470</v>
      </c>
      <c r="J78" s="292">
        <f>IFERROR(VLOOKUP(Table5[[#This Row],[HCPCS code 2016 Q3]], ASP2016Q3[], 4, FALSE), "")</f>
        <v>1.871</v>
      </c>
      <c r="K78" s="303">
        <f>IFERROR(Table5[[#This Row],[Payment Limit 2016Q3]]/Table5[[#This Row],[HCPCS code dosage 2016Q3]], "")</f>
        <v>3.7420000000000001E-3</v>
      </c>
      <c r="L78" s="286" t="s">
        <v>1225</v>
      </c>
      <c r="M78" s="286">
        <v>500</v>
      </c>
      <c r="N78" s="307" t="s">
        <v>1470</v>
      </c>
      <c r="O78" s="291">
        <f>IFERROR(VLOOKUP(Table5[[#This Row],[HCPCS code 2017 Q1]], ASP2017Q1[], 4, FALSE), "")</f>
        <v>1.6919999999999999</v>
      </c>
      <c r="P78" s="302">
        <f>IFERROR(Table5[[#This Row],[Payment Limit 2017Q1]]/Table5[[#This Row],[HCPCS code dosage 2017Q1]], "")</f>
        <v>3.3839999999999999E-3</v>
      </c>
      <c r="Q78" s="275" t="s">
        <v>1225</v>
      </c>
      <c r="R78" s="275">
        <v>500</v>
      </c>
      <c r="S78" s="275" t="s">
        <v>1470</v>
      </c>
      <c r="T78" s="279">
        <f>IFERROR(VLOOKUP(Table5[[#This Row],[HCPCS code 2017 Q3]], ASP2017Q3[], 4, FALSE), "")</f>
        <v>1.65</v>
      </c>
      <c r="U78" s="279">
        <f>IFERROR(Table5[[#This Row],[Payment Limit 2017Q3]]/Table5[[#This Row],[HCPCS code dosage 2017Q3]], "")</f>
        <v>3.3E-3</v>
      </c>
      <c r="V78" s="374" t="s">
        <v>1225</v>
      </c>
      <c r="W78" s="377">
        <v>500</v>
      </c>
      <c r="X78" s="142" t="s">
        <v>1470</v>
      </c>
      <c r="Y78" s="279">
        <v>1.518</v>
      </c>
      <c r="Z78" s="370">
        <f>IFERROR(Table5[[#This Row],[Payment Limit 2018 Q1]]/Table5[[#This Row],[HCPCS code dosage 2018 Q1]],"")</f>
        <v>3.0360000000000001E-3</v>
      </c>
      <c r="AA78" s="374" t="s">
        <v>1225</v>
      </c>
      <c r="AB78" s="381">
        <v>500</v>
      </c>
      <c r="AC78" s="142" t="s">
        <v>1470</v>
      </c>
      <c r="AD78" s="378">
        <v>1.738</v>
      </c>
      <c r="AE78" s="370">
        <f>IFERROR(Table5[[#This Row],[Payment Limit 2018 Q3]]/Table5[[#This Row],[HCPCS code dosage 2018 Q3]],"")</f>
        <v>3.4759999999999999E-3</v>
      </c>
      <c r="AF78" s="275" t="s">
        <v>1225</v>
      </c>
      <c r="AG78" s="122">
        <v>3.5819999999999997E-3</v>
      </c>
      <c r="AH78" s="117" t="s">
        <v>1225</v>
      </c>
      <c r="AI78" s="118" t="s">
        <v>1668</v>
      </c>
      <c r="AJ78" s="118" t="s">
        <v>1470</v>
      </c>
      <c r="AK78" s="115">
        <f>IFERROR(VLOOKUP(Table5[[#This Row],[HCPCS code 2019Q3]], ASP2019Q3[], 4, FALSE), "")</f>
        <v>1.8360000000000001</v>
      </c>
      <c r="AL78" s="72">
        <f>IFERROR(Table5[[#This Row],[Payment Limit 2019Q3]]/Table5[[#This Row],[HCPCS code dosage 2019Q3]], "")</f>
        <v>3.6720000000000004E-3</v>
      </c>
      <c r="AM78" s="130" t="s">
        <v>1225</v>
      </c>
      <c r="AN78" s="130" t="s">
        <v>1668</v>
      </c>
      <c r="AO78" s="130" t="s">
        <v>1470</v>
      </c>
      <c r="AP78" s="126">
        <f>IFERROR(VLOOKUP(Table5[[#This Row],[HCPCS code 2020Q1]], ASP2020Q1[], 4, FALSE), "")</f>
        <v>1.512</v>
      </c>
      <c r="AQ78" s="77">
        <f>IFERROR(Table5[[#This Row],[Payment Limit 2020Q1]]/Table5[[#This Row],[HCPCS code dosage 2020Q1]], "")</f>
        <v>3.0240000000000002E-3</v>
      </c>
      <c r="AR78" s="133" t="s">
        <v>1225</v>
      </c>
      <c r="AS78" s="130" t="s">
        <v>1668</v>
      </c>
      <c r="AT78" s="130" t="s">
        <v>1470</v>
      </c>
      <c r="AU78" s="132">
        <f>IFERROR(VLOOKUP(Table5[[#This Row],[HCPCS code 2020Q3]], ASP2020Q3[], 4, FALSE), "")</f>
        <v>1.5880000000000001</v>
      </c>
      <c r="AV78" s="72">
        <f>IFERROR(Table5[[#This Row],[Payment limit 2020Q3]]/Table5[[#This Row],[HCPCS code dosage 2020Q3]],"")</f>
        <v>3.176E-3</v>
      </c>
      <c r="AW78" s="144" t="s">
        <v>1225</v>
      </c>
      <c r="AX78" s="118" t="s">
        <v>1668</v>
      </c>
      <c r="AY78" s="144" t="s">
        <v>1470</v>
      </c>
      <c r="AZ78" s="144">
        <f>IFERROR(VLOOKUP(Table5[[#This Row],[HCPCS code 2021Q1]], ASP2021Q1[], 4, FALSE), "")</f>
        <v>1.6839999999999999</v>
      </c>
      <c r="BA78" s="122">
        <f>IFERROR(Table5[[#This Row],[Payment limit 2021Q1]]/Table5[[#This Row],[HCPCS code dosage 2021Q1]], "")</f>
        <v>3.3679999999999999E-3</v>
      </c>
      <c r="BB78" s="147" t="s">
        <v>1225</v>
      </c>
      <c r="BC78" s="118" t="s">
        <v>1668</v>
      </c>
      <c r="BD78" s="144" t="s">
        <v>1470</v>
      </c>
      <c r="BE78" s="144">
        <f>IFERROR(VLOOKUP(Table5[[#This Row],[HCPCS code 2021Q3]], ASP2021Q3[], 4, FALSE), "")</f>
        <v>1.5609999999999999</v>
      </c>
      <c r="BF78" s="122">
        <f>IFERROR(Table5[[#This Row],[Payment limit 2021Q3]]/Table5[[#This Row],[HCPCS code dosage 2021Q3]], "")</f>
        <v>3.1219999999999998E-3</v>
      </c>
      <c r="BG78" s="147" t="s">
        <v>1225</v>
      </c>
      <c r="BH78" s="118" t="s">
        <v>1668</v>
      </c>
      <c r="BI78" s="144" t="s">
        <v>1470</v>
      </c>
      <c r="BJ78" s="144">
        <f>IFERROR(VLOOKUP(Table5[[#This Row],[HCPCS code 2022Q1]], ASP2022Q1[], 4, FALSE), "")</f>
        <v>2.129</v>
      </c>
      <c r="BK78" s="122">
        <f>IFERROR(Table5[[#This Row],[Payment limit 2022Q1]]/Table5[[#This Row],[HCPCS code dosage 2022Q1]], "")</f>
        <v>4.2579999999999996E-3</v>
      </c>
      <c r="BL78" s="144" t="s">
        <v>1225</v>
      </c>
      <c r="BM78" s="184">
        <v>500</v>
      </c>
      <c r="BN78" s="144" t="s">
        <v>1470</v>
      </c>
      <c r="BO78" s="144">
        <f>IFERROR(VLOOKUP(Table5[[#This Row],[HCPCS Code 2022Q3]], ASP2022Q3[], 4, FALSE), "")</f>
        <v>2.1259999999999999</v>
      </c>
      <c r="BP78" s="122">
        <f>IFERROR(Table5[[#This Row],[Payment limit 2022Q3]]/Table5[[#This Row],[HCPCS code dosage 2022Q3]], "")</f>
        <v>4.2519999999999997E-3</v>
      </c>
      <c r="BQ78" s="144" t="s">
        <v>1225</v>
      </c>
      <c r="BR78" s="118">
        <v>500</v>
      </c>
      <c r="BS78" s="144" t="s">
        <v>1470</v>
      </c>
      <c r="BT78" s="146">
        <v>2.516</v>
      </c>
      <c r="BU78" s="144">
        <f>IFERROR(Table5[[#This Row],[Payment limit 2023Q1]]/Table5[[#This Row],[HCPCS code dosage 2023Q1]], "")</f>
        <v>5.032E-3</v>
      </c>
      <c r="BV78" s="79"/>
    </row>
    <row r="79" spans="1:74" x14ac:dyDescent="0.3">
      <c r="A79" s="69" t="s">
        <v>1700</v>
      </c>
      <c r="B79" s="273" t="s">
        <v>564</v>
      </c>
      <c r="C79" s="273">
        <v>1</v>
      </c>
      <c r="D79" s="275" t="s">
        <v>1470</v>
      </c>
      <c r="E79" s="280">
        <f>IFERROR(VLOOKUP(Table5[[#This Row],[HCPCS code 2016 Q1]], ASP2016Q1[], 4, FALSE), "")</f>
        <v>1.7270000000000001</v>
      </c>
      <c r="F79" s="305">
        <f>IFERROR(Table5[[#This Row],[Payment Limit 2016Q1]]/Table5[[#This Row],[HCPCS code dosage 2016Q1]], "")</f>
        <v>1.7270000000000001</v>
      </c>
      <c r="G79" s="273" t="s">
        <v>564</v>
      </c>
      <c r="H79" s="273">
        <v>1</v>
      </c>
      <c r="I79" s="275" t="s">
        <v>1470</v>
      </c>
      <c r="J79" s="280">
        <f>IFERROR(VLOOKUP(Table5[[#This Row],[HCPCS code 2016 Q3]], ASP2016Q3[], 4, FALSE), "")</f>
        <v>1.802</v>
      </c>
      <c r="K79" s="305">
        <f>IFERROR(Table5[[#This Row],[Payment Limit 2016Q3]]/Table5[[#This Row],[HCPCS code dosage 2016Q3]], "")</f>
        <v>1.802</v>
      </c>
      <c r="L79" s="273" t="s">
        <v>564</v>
      </c>
      <c r="M79" s="273">
        <v>1</v>
      </c>
      <c r="N79" s="275" t="s">
        <v>1470</v>
      </c>
      <c r="O79" s="291">
        <f>IFERROR(VLOOKUP(Table5[[#This Row],[HCPCS code 2017 Q1]], ASP2017Q1[], 4, FALSE), "")</f>
        <v>1.8560000000000001</v>
      </c>
      <c r="P79" s="302">
        <f>IFERROR(Table5[[#This Row],[Payment Limit 2017Q1]]/Table5[[#This Row],[HCPCS code dosage 2017Q1]], "")</f>
        <v>1.8560000000000001</v>
      </c>
      <c r="Q79" s="275" t="s">
        <v>564</v>
      </c>
      <c r="R79" s="275">
        <v>1</v>
      </c>
      <c r="S79" s="275" t="s">
        <v>1470</v>
      </c>
      <c r="T79" s="280">
        <f>IFERROR(VLOOKUP(Table5[[#This Row],[HCPCS code 2017 Q3]], ASP2017Q3[], 4, FALSE), "")</f>
        <v>1.913</v>
      </c>
      <c r="U79" s="280">
        <f>IFERROR(Table5[[#This Row],[Payment Limit 2017Q3]]/Table5[[#This Row],[HCPCS code dosage 2017Q3]], "")</f>
        <v>1.913</v>
      </c>
      <c r="V79" s="374" t="s">
        <v>564</v>
      </c>
      <c r="W79" s="377">
        <v>1</v>
      </c>
      <c r="X79" s="142" t="s">
        <v>1470</v>
      </c>
      <c r="Y79" s="280">
        <v>2.0470000000000002</v>
      </c>
      <c r="Z79" s="305">
        <f>IFERROR(Table5[[#This Row],[Payment Limit 2018 Q1]]/Table5[[#This Row],[HCPCS code dosage 2018 Q1]],"")</f>
        <v>2.0470000000000002</v>
      </c>
      <c r="AA79" s="374" t="s">
        <v>564</v>
      </c>
      <c r="AB79" s="381">
        <v>1</v>
      </c>
      <c r="AC79" s="142" t="s">
        <v>1470</v>
      </c>
      <c r="AD79" s="378">
        <v>2.0779999999999998</v>
      </c>
      <c r="AE79" s="305">
        <f>IFERROR(Table5[[#This Row],[Payment Limit 2018 Q3]]/Table5[[#This Row],[HCPCS code dosage 2018 Q3]],"")</f>
        <v>2.0779999999999998</v>
      </c>
      <c r="AF79" s="273" t="s">
        <v>564</v>
      </c>
      <c r="AG79" s="122">
        <v>2.1040000000000001</v>
      </c>
      <c r="AH79" s="117" t="s">
        <v>564</v>
      </c>
      <c r="AI79" s="118">
        <v>1</v>
      </c>
      <c r="AJ79" s="118" t="s">
        <v>1470</v>
      </c>
      <c r="AK79" s="115">
        <f>IFERROR(VLOOKUP(Table5[[#This Row],[HCPCS code 2019Q3]], ASP2019Q3[], 4, FALSE), "")</f>
        <v>2</v>
      </c>
      <c r="AL79" s="72">
        <f>IFERROR(Table5[[#This Row],[Payment Limit 2019Q3]]/Table5[[#This Row],[HCPCS code dosage 2019Q3]], "")</f>
        <v>2</v>
      </c>
      <c r="AM79" s="130" t="s">
        <v>564</v>
      </c>
      <c r="AN79" s="130">
        <v>1</v>
      </c>
      <c r="AO79" s="130" t="s">
        <v>1470</v>
      </c>
      <c r="AP79" s="126">
        <f>IFERROR(VLOOKUP(Table5[[#This Row],[HCPCS code 2020Q1]], ASP2020Q1[], 4, FALSE), "")</f>
        <v>1.9801721631002975</v>
      </c>
      <c r="AQ79" s="77">
        <f>IFERROR(Table5[[#This Row],[Payment Limit 2020Q1]]/Table5[[#This Row],[HCPCS code dosage 2020Q1]], "")</f>
        <v>1.9801721631002975</v>
      </c>
      <c r="AR79" s="133" t="s">
        <v>564</v>
      </c>
      <c r="AS79" s="130">
        <v>1</v>
      </c>
      <c r="AT79" s="130" t="s">
        <v>1470</v>
      </c>
      <c r="AU79" s="132">
        <f>IFERROR(VLOOKUP(Table5[[#This Row],[HCPCS code 2020Q3]], ASP2020Q3[], 4, FALSE), "")</f>
        <v>1.075</v>
      </c>
      <c r="AV79" s="72">
        <f>IFERROR(Table5[[#This Row],[Payment limit 2020Q3]]/Table5[[#This Row],[HCPCS code dosage 2020Q3]],"")</f>
        <v>1.075</v>
      </c>
      <c r="AW79" s="144" t="s">
        <v>564</v>
      </c>
      <c r="AX79" s="118">
        <v>1</v>
      </c>
      <c r="AY79" s="144" t="s">
        <v>1470</v>
      </c>
      <c r="AZ79" s="144">
        <f>IFERROR(VLOOKUP(Table5[[#This Row],[HCPCS code 2021Q1]], ASP2021Q1[], 4, FALSE), "")</f>
        <v>0.41699999999999998</v>
      </c>
      <c r="BA79" s="122">
        <f>IFERROR(Table5[[#This Row],[Payment limit 2021Q1]]/Table5[[#This Row],[HCPCS code dosage 2021Q1]], "")</f>
        <v>0.41699999999999998</v>
      </c>
      <c r="BB79" s="147" t="s">
        <v>564</v>
      </c>
      <c r="BC79" s="118">
        <v>1</v>
      </c>
      <c r="BD79" s="144" t="s">
        <v>1470</v>
      </c>
      <c r="BE79" s="144">
        <f>IFERROR(VLOOKUP(Table5[[#This Row],[HCPCS code 2021Q3]], ASP2021Q3[], 4, FALSE), "")</f>
        <v>0.33200000000000002</v>
      </c>
      <c r="BF79" s="122">
        <f>IFERROR(Table5[[#This Row],[Payment limit 2021Q3]]/Table5[[#This Row],[HCPCS code dosage 2021Q3]], "")</f>
        <v>0.33200000000000002</v>
      </c>
      <c r="BG79" s="147" t="s">
        <v>564</v>
      </c>
      <c r="BH79" s="118">
        <v>1</v>
      </c>
      <c r="BI79" s="144" t="s">
        <v>1470</v>
      </c>
      <c r="BJ79" s="144">
        <f>IFERROR(VLOOKUP(Table5[[#This Row],[HCPCS code 2022Q1]], ASP2022Q1[], 4, FALSE), "")</f>
        <v>0.19</v>
      </c>
      <c r="BK79" s="122">
        <f>IFERROR(Table5[[#This Row],[Payment limit 2022Q1]]/Table5[[#This Row],[HCPCS code dosage 2022Q1]], "")</f>
        <v>0.19</v>
      </c>
      <c r="BL79" s="144" t="s">
        <v>564</v>
      </c>
      <c r="BM79" s="184">
        <v>1</v>
      </c>
      <c r="BN79" s="144" t="s">
        <v>1470</v>
      </c>
      <c r="BO79" s="144">
        <f>IFERROR(VLOOKUP(Table5[[#This Row],[HCPCS Code 2022Q3]], ASP2022Q3[], 4, FALSE), "")</f>
        <v>0.183</v>
      </c>
      <c r="BP79" s="122">
        <f>IFERROR(Table5[[#This Row],[Payment limit 2022Q3]]/Table5[[#This Row],[HCPCS code dosage 2022Q3]], "")</f>
        <v>0.183</v>
      </c>
      <c r="BQ79" s="144" t="s">
        <v>564</v>
      </c>
      <c r="BR79" s="118">
        <v>1</v>
      </c>
      <c r="BS79" s="144" t="s">
        <v>1470</v>
      </c>
      <c r="BT79" s="144">
        <v>0.17499999999999999</v>
      </c>
      <c r="BU79" s="144">
        <f>IFERROR(Table5[[#This Row],[Payment limit 2023Q1]]/Table5[[#This Row],[HCPCS code dosage 2023Q1]], "")</f>
        <v>0.17499999999999999</v>
      </c>
      <c r="BV79" s="79"/>
    </row>
    <row r="80" spans="1:74" x14ac:dyDescent="0.3">
      <c r="A80" s="69" t="s">
        <v>1701</v>
      </c>
      <c r="B80" s="273"/>
      <c r="C80" s="273"/>
      <c r="D80" s="275"/>
      <c r="E80" s="280" t="str">
        <f>IFERROR(VLOOKUP(Table5[[#This Row],[HCPCS code 2016 Q1]], ASP2016Q1[], 4, FALSE), "")</f>
        <v/>
      </c>
      <c r="F80" s="305" t="str">
        <f>IFERROR(Table5[[#This Row],[Payment Limit 2016Q1]]/Table5[[#This Row],[HCPCS code dosage 2016Q1]], "")</f>
        <v/>
      </c>
      <c r="G80" s="273"/>
      <c r="H80" s="273"/>
      <c r="I80" s="275"/>
      <c r="J80" s="280" t="str">
        <f>IFERROR(VLOOKUP(Table5[[#This Row],[HCPCS code 2016 Q3]], ASP2016Q3[], 4, FALSE), "")</f>
        <v/>
      </c>
      <c r="K80" s="305" t="str">
        <f>IFERROR(Table5[[#This Row],[Payment Limit 2016Q3]]/Table5[[#This Row],[HCPCS code dosage 2016Q3]], "")</f>
        <v/>
      </c>
      <c r="L80" s="273" t="s">
        <v>566</v>
      </c>
      <c r="M80" s="273">
        <v>235</v>
      </c>
      <c r="N80" s="275" t="s">
        <v>1470</v>
      </c>
      <c r="O80" s="280">
        <v>529.52300000000002</v>
      </c>
      <c r="P80" s="302">
        <f>IFERROR(Table5[[#This Row],[Payment Limit 2017Q1]]/Table5[[#This Row],[HCPCS code dosage 2017Q1]], "")</f>
        <v>2.2532893617021279</v>
      </c>
      <c r="Q80" s="275" t="s">
        <v>566</v>
      </c>
      <c r="R80" s="275">
        <v>235</v>
      </c>
      <c r="S80" s="275" t="s">
        <v>1470</v>
      </c>
      <c r="T80" s="280">
        <v>529.52300000000002</v>
      </c>
      <c r="U80" s="280">
        <f>IFERROR(Table5[[#This Row],[Payment Limit 2017Q3]]/Table5[[#This Row],[HCPCS code dosage 2017Q3]], "")</f>
        <v>2.2532893617021279</v>
      </c>
      <c r="V80" s="374" t="s">
        <v>566</v>
      </c>
      <c r="W80" s="377">
        <v>235</v>
      </c>
      <c r="X80" s="142" t="s">
        <v>1470</v>
      </c>
      <c r="Y80" s="280">
        <v>529.52300000000002</v>
      </c>
      <c r="Z80" s="305">
        <f>IFERROR(Table5[[#This Row],[Payment Limit 2018 Q1]]/Table5[[#This Row],[HCPCS code dosage 2018 Q1]],"")</f>
        <v>2.2532893617021279</v>
      </c>
      <c r="AA80" s="374" t="s">
        <v>566</v>
      </c>
      <c r="AB80" s="381">
        <v>235</v>
      </c>
      <c r="AC80" s="142" t="s">
        <v>1470</v>
      </c>
      <c r="AD80" s="378">
        <v>529.52300000000002</v>
      </c>
      <c r="AE80" s="305">
        <f>IFERROR(Table5[[#This Row],[Payment Limit 2018 Q3]]/Table5[[#This Row],[HCPCS code dosage 2018 Q3]],"")</f>
        <v>2.2532893617021279</v>
      </c>
      <c r="AF80" s="273" t="s">
        <v>566</v>
      </c>
      <c r="AG80" s="122">
        <v>2.2532893617021279</v>
      </c>
      <c r="AH80" s="117" t="s">
        <v>566</v>
      </c>
      <c r="AI80" s="118">
        <v>235</v>
      </c>
      <c r="AJ80" s="118" t="s">
        <v>1470</v>
      </c>
      <c r="AK80" s="115">
        <f>IFERROR(VLOOKUP(Table5[[#This Row],[HCPCS code 2019Q3]], ASP2019Q3[], 4, FALSE), "")</f>
        <v>460.423</v>
      </c>
      <c r="AL80" s="72">
        <f>IFERROR(Table5[[#This Row],[Payment Limit 2019Q3]]/Table5[[#This Row],[HCPCS code dosage 2019Q3]], "")</f>
        <v>1.9592468085106383</v>
      </c>
      <c r="AM80" s="130" t="s">
        <v>566</v>
      </c>
      <c r="AN80" s="130">
        <v>235</v>
      </c>
      <c r="AO80" s="130" t="s">
        <v>1470</v>
      </c>
      <c r="AP80" s="126">
        <f>IFERROR(VLOOKUP(Table5[[#This Row],[HCPCS code 2020Q1]], ASP2020Q1[], 4, FALSE), "")</f>
        <v>301.87299999999999</v>
      </c>
      <c r="AQ80" s="77">
        <f>IFERROR(Table5[[#This Row],[Payment Limit 2020Q1]]/Table5[[#This Row],[HCPCS code dosage 2020Q1]], "")</f>
        <v>1.2845659574468085</v>
      </c>
      <c r="AR80" s="133" t="s">
        <v>566</v>
      </c>
      <c r="AS80" s="130">
        <v>235</v>
      </c>
      <c r="AT80" s="130" t="s">
        <v>1470</v>
      </c>
      <c r="AU80" s="132">
        <f>IFERROR(VLOOKUP(Table5[[#This Row],[HCPCS code 2020Q3]], ASP2020Q3[], 4, FALSE), "")</f>
        <v>375.16699999999997</v>
      </c>
      <c r="AV80" s="72">
        <f>IFERROR(Table5[[#This Row],[Payment limit 2020Q3]]/Table5[[#This Row],[HCPCS code dosage 2020Q3]],"")</f>
        <v>1.5964553191489361</v>
      </c>
      <c r="AW80" s="144" t="s">
        <v>566</v>
      </c>
      <c r="AX80" s="118">
        <v>235</v>
      </c>
      <c r="AY80" s="144" t="s">
        <v>1470</v>
      </c>
      <c r="AZ80" s="144">
        <f>IFERROR(VLOOKUP(Table5[[#This Row],[HCPCS code 2021Q1]], ASP2021Q1[], 4, FALSE), "")</f>
        <v>695.55799999999999</v>
      </c>
      <c r="BA80" s="122">
        <f>IFERROR(Table5[[#This Row],[Payment limit 2021Q1]]/Table5[[#This Row],[HCPCS code dosage 2021Q1]], "")</f>
        <v>2.9598212765957448</v>
      </c>
      <c r="BB80" s="147" t="s">
        <v>566</v>
      </c>
      <c r="BC80" s="118">
        <v>235</v>
      </c>
      <c r="BD80" s="144" t="s">
        <v>1470</v>
      </c>
      <c r="BE80" s="144">
        <f>IFERROR(VLOOKUP(Table5[[#This Row],[HCPCS code 2021Q3]], ASP2021Q3[], 4, FALSE), "")</f>
        <v>594.20000000000005</v>
      </c>
      <c r="BF80" s="122">
        <f>IFERROR(Table5[[#This Row],[Payment limit 2021Q3]]/Table5[[#This Row],[HCPCS code dosage 2021Q3]], "")</f>
        <v>2.5285106382978726</v>
      </c>
      <c r="BG80" s="147" t="s">
        <v>566</v>
      </c>
      <c r="BH80" s="118">
        <v>235</v>
      </c>
      <c r="BI80" s="144" t="s">
        <v>1470</v>
      </c>
      <c r="BJ80" s="144">
        <f>IFERROR(VLOOKUP(Table5[[#This Row],[HCPCS code 2022Q1]], ASP2022Q1[], 4, FALSE), "")</f>
        <v>503.97899999999998</v>
      </c>
      <c r="BK80" s="122">
        <f>IFERROR(Table5[[#This Row],[Payment limit 2022Q1]]/Table5[[#This Row],[HCPCS code dosage 2022Q1]], "")</f>
        <v>2.144591489361702</v>
      </c>
      <c r="BL80" s="144" t="s">
        <v>566</v>
      </c>
      <c r="BM80" s="184">
        <v>235</v>
      </c>
      <c r="BN80" s="144" t="s">
        <v>1470</v>
      </c>
      <c r="BO80" s="144">
        <f>IFERROR(VLOOKUP(Table5[[#This Row],[HCPCS Code 2022Q3]], ASP2022Q3[], 4, FALSE), "")</f>
        <v>466.07400000000001</v>
      </c>
      <c r="BP80" s="122">
        <f>IFERROR(Table5[[#This Row],[Payment limit 2022Q3]]/Table5[[#This Row],[HCPCS code dosage 2022Q3]], "")</f>
        <v>1.9832936170212767</v>
      </c>
      <c r="BQ80" s="144" t="s">
        <v>566</v>
      </c>
      <c r="BR80" s="118">
        <v>235</v>
      </c>
      <c r="BS80" s="144" t="s">
        <v>1470</v>
      </c>
      <c r="BT80" s="144">
        <v>467.05799999999999</v>
      </c>
      <c r="BU80" s="144">
        <f>IFERROR(Table5[[#This Row],[Payment limit 2023Q1]]/Table5[[#This Row],[HCPCS code dosage 2023Q1]], "")</f>
        <v>1.9874808510638298</v>
      </c>
      <c r="BV80" s="80" t="s">
        <v>2642</v>
      </c>
    </row>
    <row r="81" spans="1:74" x14ac:dyDescent="0.3">
      <c r="A81" s="69" t="s">
        <v>2749</v>
      </c>
      <c r="B81" s="287"/>
      <c r="C81" s="287"/>
      <c r="D81" s="308"/>
      <c r="E81" s="280" t="str">
        <f>IFERROR(VLOOKUP(Table5[[#This Row],[HCPCS code 2016 Q1]], ASP2016Q1[], 4, FALSE), "")</f>
        <v/>
      </c>
      <c r="F81" s="305" t="str">
        <f>IFERROR(Table5[[#This Row],[Payment Limit 2016Q1]]/Table5[[#This Row],[HCPCS code dosage 2016Q1]], "")</f>
        <v/>
      </c>
      <c r="G81" s="287"/>
      <c r="H81" s="287"/>
      <c r="I81" s="308"/>
      <c r="J81" s="280" t="str">
        <f>IFERROR(VLOOKUP(Table5[[#This Row],[HCPCS code 2016 Q3]], ASP2016Q3[], 4, FALSE), "")</f>
        <v/>
      </c>
      <c r="K81" s="305" t="str">
        <f>IFERROR(Table5[[#This Row],[Payment Limit 2016Q3]]/Table5[[#This Row],[HCPCS code dosage 2016Q3]], "")</f>
        <v/>
      </c>
      <c r="L81" s="273"/>
      <c r="M81" s="273"/>
      <c r="N81" s="275"/>
      <c r="O81" s="280" t="str">
        <f>IFERROR(VLOOKUP(Table5[[#This Row],[HCPCS code 2017 Q1]], ASP2017Q1[], 4, FALSE), "")</f>
        <v/>
      </c>
      <c r="P81" s="305" t="str">
        <f>IFERROR(Table5[[#This Row],[Payment Limit 2017Q1]]/Table5[[#This Row],[HCPCS code dosage 2017Q1]], "")</f>
        <v/>
      </c>
      <c r="Q81" s="142"/>
      <c r="R81" s="416"/>
      <c r="S81" s="416"/>
      <c r="T81" s="280" t="str">
        <f>IFERROR(VLOOKUP(Table5[[#This Row],[HCPCS code 2017 Q3]], ASP2017Q3[], 4, FALSE), "")</f>
        <v/>
      </c>
      <c r="U81" s="280" t="str">
        <f>IFERROR(Table5[[#This Row],[Payment Limit 2017Q3]]/Table5[[#This Row],[HCPCS code dosage 2017Q3]], "")</f>
        <v/>
      </c>
      <c r="V81" s="374"/>
      <c r="W81" s="377"/>
      <c r="X81" s="142"/>
      <c r="Y81" s="279"/>
      <c r="Z81" s="370" t="str">
        <f>IFERROR(Table5[[#This Row],[Payment Limit 2018 Q1]]/Table5[[#This Row],[HCPCS code dosage 2018 Q1]],"")</f>
        <v/>
      </c>
      <c r="AA81" s="374"/>
      <c r="AB81" s="381"/>
      <c r="AC81" s="142"/>
      <c r="AD81" s="378"/>
      <c r="AE81" s="305" t="str">
        <f>IFERROR(Table5[[#This Row],[Payment Limit 2018 Q3]]/Table5[[#This Row],[HCPCS code dosage 2018 Q3]],"")</f>
        <v/>
      </c>
      <c r="AF81" s="416" t="s">
        <v>1439</v>
      </c>
      <c r="AG81" s="122">
        <f xml:space="preserve"> 358.354166666667 / 0.5</f>
        <v>716.70833333333405</v>
      </c>
      <c r="AH81" s="117" t="s">
        <v>1439</v>
      </c>
      <c r="AI81" s="118">
        <v>0.5</v>
      </c>
      <c r="AJ81" s="118" t="s">
        <v>1470</v>
      </c>
      <c r="AK81" s="132">
        <f>IFERROR(VLOOKUP(Table5[[#This Row],[HCPCS code 2019Q3]], ASP2019Q3[], 4, FALSE), "")</f>
        <v>332.54700000000003</v>
      </c>
      <c r="AL81" s="72">
        <f>IFERROR(Table5[[#This Row],[Payment Limit 2019Q3]]/Table5[[#This Row],[HCPCS code dosage 2019Q3]], "")</f>
        <v>665.09400000000005</v>
      </c>
      <c r="AM81" s="130" t="s">
        <v>1439</v>
      </c>
      <c r="AN81" s="130">
        <v>0.5</v>
      </c>
      <c r="AO81" s="130" t="s">
        <v>1470</v>
      </c>
      <c r="AP81" s="126">
        <f>IFERROR(VLOOKUP(Table5[[#This Row],[HCPCS code 2020Q1]], ASP2020Q1[], 4, FALSE), "")</f>
        <v>311.61823074161572</v>
      </c>
      <c r="AQ81" s="77">
        <f>IFERROR(Table5[[#This Row],[Payment Limit 2020Q1]]/Table5[[#This Row],[HCPCS code dosage 2020Q1]], "")</f>
        <v>623.23646148323144</v>
      </c>
      <c r="AR81" s="133" t="s">
        <v>1439</v>
      </c>
      <c r="AS81" s="130">
        <v>0.5</v>
      </c>
      <c r="AT81" s="130" t="s">
        <v>1470</v>
      </c>
      <c r="AU81" s="132">
        <f>IFERROR(VLOOKUP(Table5[[#This Row],[HCPCS code 2020Q3]], ASP2020Q3[], 4, FALSE), "")</f>
        <v>294.34399999999999</v>
      </c>
      <c r="AV81" s="72">
        <f>IFERROR(Table5[[#This Row],[Payment limit 2020Q3]]/Table5[[#This Row],[HCPCS code dosage 2020Q3]],"")</f>
        <v>588.68799999999999</v>
      </c>
      <c r="AW81" s="144" t="s">
        <v>1439</v>
      </c>
      <c r="AX81" s="118">
        <v>0.5</v>
      </c>
      <c r="AY81" s="144" t="s">
        <v>1470</v>
      </c>
      <c r="AZ81" s="144">
        <f>IFERROR(VLOOKUP(Table5[[#This Row],[HCPCS code 2021Q1]], ASP2021Q1[], 4, FALSE), "")</f>
        <v>248.16200000000001</v>
      </c>
      <c r="BA81" s="122">
        <f>IFERROR(Table5[[#This Row],[Payment limit 2021Q1]]/Table5[[#This Row],[HCPCS code dosage 2021Q1]], "")</f>
        <v>496.32400000000001</v>
      </c>
      <c r="BB81" s="147" t="s">
        <v>1439</v>
      </c>
      <c r="BC81" s="118">
        <v>0.5</v>
      </c>
      <c r="BD81" s="144" t="s">
        <v>1470</v>
      </c>
      <c r="BE81" s="144">
        <f>IFERROR(VLOOKUP(Table5[[#This Row],[HCPCS code 2021Q3]], ASP2021Q3[], 4, FALSE), "")</f>
        <v>222.261</v>
      </c>
      <c r="BF81" s="122">
        <f>IFERROR(Table5[[#This Row],[Payment limit 2021Q3]]/Table5[[#This Row],[HCPCS code dosage 2021Q3]], "")</f>
        <v>444.52199999999999</v>
      </c>
      <c r="BG81" s="147" t="s">
        <v>1439</v>
      </c>
      <c r="BH81" s="118">
        <v>0.5</v>
      </c>
      <c r="BI81" s="144" t="s">
        <v>1470</v>
      </c>
      <c r="BJ81" s="144">
        <f>IFERROR(VLOOKUP(Table5[[#This Row],[HCPCS code 2022Q1]], ASP2022Q1[], 4, FALSE), "")</f>
        <v>204.13800000000001</v>
      </c>
      <c r="BK81" s="122">
        <f>IFERROR(Table5[[#This Row],[Payment limit 2022Q1]]/Table5[[#This Row],[HCPCS code dosage 2022Q1]], "")</f>
        <v>408.27600000000001</v>
      </c>
      <c r="BL81" s="144" t="s">
        <v>1439</v>
      </c>
      <c r="BM81" s="184">
        <v>0.5</v>
      </c>
      <c r="BN81" s="144" t="s">
        <v>1470</v>
      </c>
      <c r="BO81" s="144">
        <f>IFERROR(VLOOKUP(Table5[[#This Row],[HCPCS Code 2022Q3]], ASP2022Q3[], 4, FALSE), "")</f>
        <v>165.268</v>
      </c>
      <c r="BP81" s="122">
        <f>IFERROR(Table5[[#This Row],[Payment limit 2022Q3]]/Table5[[#This Row],[HCPCS code dosage 2022Q3]], "")</f>
        <v>330.536</v>
      </c>
      <c r="BQ81" s="144"/>
      <c r="BR81" s="521"/>
      <c r="BS81" s="144"/>
      <c r="BT81" s="144"/>
      <c r="BU81" s="144" t="str">
        <f>IFERROR(Table5[[#This Row],[Payment limit 2023Q1]]/Table5[[#This Row],[HCPCS code dosage 2023Q1]], "")</f>
        <v/>
      </c>
      <c r="BV81" s="79"/>
    </row>
    <row r="82" spans="1:74" x14ac:dyDescent="0.3">
      <c r="A82" s="62" t="s">
        <v>13</v>
      </c>
      <c r="B82" s="286" t="s">
        <v>1343</v>
      </c>
      <c r="C82" s="286">
        <v>25</v>
      </c>
      <c r="D82" s="307" t="s">
        <v>1470</v>
      </c>
      <c r="E82" s="292">
        <f>IFERROR(VLOOKUP(Table5[[#This Row],[HCPCS code 2016 Q1]], ASP2016Q1[], 4, FALSE), "")</f>
        <v>93.581000000000003</v>
      </c>
      <c r="F82" s="303">
        <f>IFERROR(Table5[[#This Row],[Payment Limit 2016Q1]]/Table5[[#This Row],[HCPCS code dosage 2016Q1]], "")</f>
        <v>3.7432400000000001</v>
      </c>
      <c r="G82" s="286" t="s">
        <v>1343</v>
      </c>
      <c r="H82" s="286">
        <v>25</v>
      </c>
      <c r="I82" s="307" t="s">
        <v>1470</v>
      </c>
      <c r="J82" s="292">
        <f>IFERROR(VLOOKUP(Table5[[#This Row],[HCPCS code 2016 Q3]], ASP2016Q3[], 4, FALSE), "")</f>
        <v>94.081999999999994</v>
      </c>
      <c r="K82" s="303">
        <f>IFERROR(Table5[[#This Row],[Payment Limit 2016Q3]]/Table5[[#This Row],[HCPCS code dosage 2016Q3]], "")</f>
        <v>3.76328</v>
      </c>
      <c r="L82" s="286" t="s">
        <v>1343</v>
      </c>
      <c r="M82" s="286">
        <v>25</v>
      </c>
      <c r="N82" s="307" t="s">
        <v>1470</v>
      </c>
      <c r="O82" s="291">
        <f>IFERROR(VLOOKUP(Table5[[#This Row],[HCPCS code 2017 Q1]], ASP2017Q1[], 4, FALSE), "")</f>
        <v>95.739000000000004</v>
      </c>
      <c r="P82" s="302">
        <f>IFERROR(Table5[[#This Row],[Payment Limit 2017Q1]]/Table5[[#This Row],[HCPCS code dosage 2017Q1]], "")</f>
        <v>3.8295600000000003</v>
      </c>
      <c r="Q82" s="275" t="s">
        <v>1343</v>
      </c>
      <c r="R82" s="275">
        <v>25</v>
      </c>
      <c r="S82" s="275" t="s">
        <v>1470</v>
      </c>
      <c r="T82" s="279">
        <f>IFERROR(VLOOKUP(Table5[[#This Row],[HCPCS code 2017 Q3]], ASP2017Q3[], 4, FALSE), "")</f>
        <v>96.180999999999997</v>
      </c>
      <c r="U82" s="279">
        <f>IFERROR(Table5[[#This Row],[Payment Limit 2017Q3]]/Table5[[#This Row],[HCPCS code dosage 2017Q3]], "")</f>
        <v>3.8472399999999998</v>
      </c>
      <c r="V82" s="374" t="s">
        <v>1343</v>
      </c>
      <c r="W82" s="377">
        <v>25</v>
      </c>
      <c r="X82" s="142" t="s">
        <v>1470</v>
      </c>
      <c r="Y82" s="279">
        <v>96.875</v>
      </c>
      <c r="Z82" s="370">
        <f>IFERROR(Table5[[#This Row],[Payment Limit 2018 Q1]]/Table5[[#This Row],[HCPCS code dosage 2018 Q1]],"")</f>
        <v>3.875</v>
      </c>
      <c r="AA82" s="374" t="s">
        <v>1343</v>
      </c>
      <c r="AB82" s="381">
        <v>25</v>
      </c>
      <c r="AC82" s="142" t="s">
        <v>1470</v>
      </c>
      <c r="AD82" s="378">
        <v>97.242000000000004</v>
      </c>
      <c r="AE82" s="370">
        <f>IFERROR(Table5[[#This Row],[Payment Limit 2018 Q3]]/Table5[[#This Row],[HCPCS code dosage 2018 Q3]],"")</f>
        <v>3.8896800000000002</v>
      </c>
      <c r="AF82" s="275" t="s">
        <v>1343</v>
      </c>
      <c r="AG82" s="122">
        <v>3.89968</v>
      </c>
      <c r="AH82" s="117" t="s">
        <v>1343</v>
      </c>
      <c r="AI82" s="118" t="s">
        <v>1669</v>
      </c>
      <c r="AJ82" s="118" t="s">
        <v>1470</v>
      </c>
      <c r="AK82" s="115">
        <f>IFERROR(VLOOKUP(Table5[[#This Row],[HCPCS code 2019Q3]], ASP2019Q3[], 4, FALSE), "")</f>
        <v>98.778000000000006</v>
      </c>
      <c r="AL82" s="72">
        <f>IFERROR(Table5[[#This Row],[Payment Limit 2019Q3]]/Table5[[#This Row],[HCPCS code dosage 2019Q3]], "")</f>
        <v>3.9511200000000004</v>
      </c>
      <c r="AM82" s="130" t="s">
        <v>1343</v>
      </c>
      <c r="AN82" s="130" t="s">
        <v>1669</v>
      </c>
      <c r="AO82" s="130" t="s">
        <v>1470</v>
      </c>
      <c r="AP82" s="126">
        <f>IFERROR(VLOOKUP(Table5[[#This Row],[HCPCS code 2020Q1]], ASP2020Q1[], 4, FALSE), "")</f>
        <v>84.956999999999994</v>
      </c>
      <c r="AQ82" s="77">
        <f>IFERROR(Table5[[#This Row],[Payment Limit 2020Q1]]/Table5[[#This Row],[HCPCS code dosage 2020Q1]], "")</f>
        <v>3.3982799999999997</v>
      </c>
      <c r="AR82" s="133" t="s">
        <v>1343</v>
      </c>
      <c r="AS82" s="130" t="s">
        <v>1669</v>
      </c>
      <c r="AT82" s="130" t="s">
        <v>1470</v>
      </c>
      <c r="AU82" s="132">
        <f>IFERROR(VLOOKUP(Table5[[#This Row],[HCPCS code 2020Q3]], ASP2020Q3[], 4, FALSE), "")</f>
        <v>49.481000000000002</v>
      </c>
      <c r="AV82" s="72">
        <f>IFERROR(Table5[[#This Row],[Payment limit 2020Q3]]/Table5[[#This Row],[HCPCS code dosage 2020Q3]],"")</f>
        <v>1.9792400000000001</v>
      </c>
      <c r="AW82" s="144" t="s">
        <v>1343</v>
      </c>
      <c r="AX82" s="118" t="s">
        <v>1669</v>
      </c>
      <c r="AY82" s="144" t="s">
        <v>1470</v>
      </c>
      <c r="AZ82" s="144">
        <f>IFERROR(VLOOKUP(Table5[[#This Row],[HCPCS code 2021Q1]], ASP2021Q1[], 4, FALSE), "")</f>
        <v>54.765000000000001</v>
      </c>
      <c r="BA82" s="122">
        <f>IFERROR(Table5[[#This Row],[Payment limit 2021Q1]]/Table5[[#This Row],[HCPCS code dosage 2021Q1]], "")</f>
        <v>2.1905999999999999</v>
      </c>
      <c r="BB82" s="147" t="s">
        <v>1343</v>
      </c>
      <c r="BC82" s="118" t="s">
        <v>1669</v>
      </c>
      <c r="BD82" s="144" t="s">
        <v>1470</v>
      </c>
      <c r="BE82" s="144">
        <f>IFERROR(VLOOKUP(Table5[[#This Row],[HCPCS code 2021Q3]], ASP2021Q3[], 4, FALSE), "")</f>
        <v>27.596</v>
      </c>
      <c r="BF82" s="122">
        <f>IFERROR(Table5[[#This Row],[Payment limit 2021Q3]]/Table5[[#This Row],[HCPCS code dosage 2021Q3]], "")</f>
        <v>1.1038399999999999</v>
      </c>
      <c r="BG82" s="147" t="s">
        <v>1343</v>
      </c>
      <c r="BH82" s="118" t="s">
        <v>1669</v>
      </c>
      <c r="BI82" s="144" t="s">
        <v>1470</v>
      </c>
      <c r="BJ82" s="144">
        <f>IFERROR(VLOOKUP(Table5[[#This Row],[HCPCS code 2022Q1]], ASP2022Q1[], 4, FALSE), "")</f>
        <v>15.646000000000001</v>
      </c>
      <c r="BK82" s="122">
        <f>IFERROR(Table5[[#This Row],[Payment limit 2022Q1]]/Table5[[#This Row],[HCPCS code dosage 2022Q1]], "")</f>
        <v>0.62584000000000006</v>
      </c>
      <c r="BL82" s="144" t="s">
        <v>1343</v>
      </c>
      <c r="BM82" s="184">
        <v>25</v>
      </c>
      <c r="BN82" s="144" t="s">
        <v>1470</v>
      </c>
      <c r="BO82" s="144">
        <f>IFERROR(VLOOKUP(Table5[[#This Row],[HCPCS Code 2022Q3]], ASP2022Q3[], 4, FALSE), "")</f>
        <v>14.016999999999999</v>
      </c>
      <c r="BP82" s="122">
        <f>IFERROR(Table5[[#This Row],[Payment limit 2022Q3]]/Table5[[#This Row],[HCPCS code dosage 2022Q3]], "")</f>
        <v>0.56067999999999996</v>
      </c>
      <c r="BQ82" s="144" t="s">
        <v>1343</v>
      </c>
      <c r="BR82" s="118">
        <v>25</v>
      </c>
      <c r="BS82" s="144" t="s">
        <v>1470</v>
      </c>
      <c r="BT82" s="144">
        <v>12.661</v>
      </c>
      <c r="BU82" s="144">
        <f>IFERROR(Table5[[#This Row],[Payment limit 2023Q1]]/Table5[[#This Row],[HCPCS code dosage 2023Q1]], "")</f>
        <v>0.50644</v>
      </c>
      <c r="BV82" s="79"/>
    </row>
    <row r="83" spans="1:74" x14ac:dyDescent="0.3">
      <c r="A83" s="194" t="s">
        <v>2161</v>
      </c>
      <c r="B83" s="287" t="s">
        <v>1229</v>
      </c>
      <c r="C83" s="287">
        <v>200</v>
      </c>
      <c r="D83" s="308" t="s">
        <v>1470</v>
      </c>
      <c r="E83" s="293">
        <f>IFERROR(VLOOKUP(Table5[[#This Row],[HCPCS code 2016 Q1]], ASP2016Q1[], 4, FALSE), "")</f>
        <v>8.7170000000000005</v>
      </c>
      <c r="F83" s="304">
        <f>IFERROR(Table5[[#This Row],[Payment Limit 2016Q1]]/Table5[[#This Row],[HCPCS code dosage 2016Q1]], "")</f>
        <v>4.3585000000000006E-2</v>
      </c>
      <c r="G83" s="287" t="s">
        <v>1229</v>
      </c>
      <c r="H83" s="287">
        <v>200</v>
      </c>
      <c r="I83" s="308" t="s">
        <v>1470</v>
      </c>
      <c r="J83" s="293">
        <f>IFERROR(VLOOKUP(Table5[[#This Row],[HCPCS code 2016 Q3]], ASP2016Q3[], 4, FALSE), "")</f>
        <v>7.0469999999999997</v>
      </c>
      <c r="K83" s="304">
        <f>IFERROR(Table5[[#This Row],[Payment Limit 2016Q3]]/Table5[[#This Row],[HCPCS code dosage 2016Q3]], "")</f>
        <v>3.5234999999999995E-2</v>
      </c>
      <c r="L83" s="287" t="s">
        <v>1229</v>
      </c>
      <c r="M83" s="287">
        <v>200</v>
      </c>
      <c r="N83" s="308" t="s">
        <v>1470</v>
      </c>
      <c r="O83" s="291">
        <f>IFERROR(VLOOKUP(Table5[[#This Row],[HCPCS code 2017 Q1]], ASP2017Q1[], 4, FALSE), "")</f>
        <v>5.5529999999999999</v>
      </c>
      <c r="P83" s="302">
        <f>IFERROR(Table5[[#This Row],[Payment Limit 2017Q1]]/Table5[[#This Row],[HCPCS code dosage 2017Q1]], "")</f>
        <v>2.7764999999999998E-2</v>
      </c>
      <c r="Q83" s="142" t="s">
        <v>1229</v>
      </c>
      <c r="R83" s="142">
        <v>200</v>
      </c>
      <c r="S83" s="275" t="s">
        <v>1470</v>
      </c>
      <c r="T83" s="279">
        <f>IFERROR(VLOOKUP(Table5[[#This Row],[HCPCS code 2017 Q3]], ASP2017Q3[], 4, FALSE), "")</f>
        <v>6.165</v>
      </c>
      <c r="U83" s="279">
        <f>IFERROR(Table5[[#This Row],[Payment Limit 2017Q3]]/Table5[[#This Row],[HCPCS code dosage 2017Q3]], "")</f>
        <v>3.0825000000000002E-2</v>
      </c>
      <c r="V83" s="374" t="s">
        <v>1229</v>
      </c>
      <c r="W83" s="377">
        <v>200</v>
      </c>
      <c r="X83" s="142" t="s">
        <v>1470</v>
      </c>
      <c r="Y83" s="279">
        <v>5.9029999999999996</v>
      </c>
      <c r="Z83" s="370">
        <f>IFERROR(Table5[[#This Row],[Payment Limit 2018 Q1]]/Table5[[#This Row],[HCPCS code dosage 2018 Q1]],"")</f>
        <v>2.9515E-2</v>
      </c>
      <c r="AA83" s="374" t="s">
        <v>1229</v>
      </c>
      <c r="AB83" s="381">
        <v>200</v>
      </c>
      <c r="AC83" s="142" t="s">
        <v>1470</v>
      </c>
      <c r="AD83" s="378">
        <v>6.4989999999999997</v>
      </c>
      <c r="AE83" s="370">
        <f>IFERROR(Table5[[#This Row],[Payment Limit 2018 Q3]]/Table5[[#This Row],[HCPCS code dosage 2018 Q3]],"")</f>
        <v>3.2494999999999996E-2</v>
      </c>
      <c r="AF83" s="142" t="s">
        <v>1229</v>
      </c>
      <c r="AG83" s="122">
        <v>2.964E-2</v>
      </c>
      <c r="AH83" s="117" t="s">
        <v>1229</v>
      </c>
      <c r="AI83" s="118" t="s">
        <v>1670</v>
      </c>
      <c r="AJ83" s="118" t="s">
        <v>1470</v>
      </c>
      <c r="AK83" s="139">
        <f>IFERROR(VLOOKUP(Table5[[#This Row],[HCPCS code 2019Q3]], ASP2019Q3[], 4, FALSE), "")</f>
        <v>4.4619999999999997</v>
      </c>
      <c r="AL83" s="72">
        <f>IFERROR(Table5[[#This Row],[Payment Limit 2019Q3]]/Table5[[#This Row],[HCPCS code dosage 2019Q3]], "")</f>
        <v>2.231E-2</v>
      </c>
      <c r="AM83" s="130" t="s">
        <v>1229</v>
      </c>
      <c r="AN83" s="130" t="s">
        <v>1670</v>
      </c>
      <c r="AO83" s="130" t="s">
        <v>1470</v>
      </c>
      <c r="AP83" s="126">
        <f>IFERROR(VLOOKUP(Table5[[#This Row],[HCPCS code 2020Q1]], ASP2020Q1[], 4, FALSE), "")</f>
        <v>4.1559999999999997</v>
      </c>
      <c r="AQ83" s="77">
        <f>IFERROR(Table5[[#This Row],[Payment Limit 2020Q1]]/Table5[[#This Row],[HCPCS code dosage 2020Q1]], "")</f>
        <v>2.078E-2</v>
      </c>
      <c r="AR83" s="133" t="s">
        <v>1229</v>
      </c>
      <c r="AS83" s="130" t="s">
        <v>1670</v>
      </c>
      <c r="AT83" s="130" t="s">
        <v>1470</v>
      </c>
      <c r="AU83" s="132">
        <f>IFERROR(VLOOKUP(Table5[[#This Row],[HCPCS code 2020Q3]], ASP2020Q3[], 4, FALSE), "")</f>
        <v>3.8780000000000001</v>
      </c>
      <c r="AV83" s="72">
        <f>IFERROR(Table5[[#This Row],[Payment limit 2020Q3]]/Table5[[#This Row],[HCPCS code dosage 2020Q3]],"")</f>
        <v>1.9390000000000001E-2</v>
      </c>
      <c r="AW83" s="144" t="s">
        <v>1229</v>
      </c>
      <c r="AX83" s="118" t="s">
        <v>1670</v>
      </c>
      <c r="AY83" s="144" t="s">
        <v>1470</v>
      </c>
      <c r="AZ83" s="144">
        <f>IFERROR(VLOOKUP(Table5[[#This Row],[HCPCS code 2021Q1]], ASP2021Q1[], 4, FALSE), "")</f>
        <v>3.968</v>
      </c>
      <c r="BA83" s="122">
        <f>IFERROR(Table5[[#This Row],[Payment limit 2021Q1]]/Table5[[#This Row],[HCPCS code dosage 2021Q1]], "")</f>
        <v>1.984E-2</v>
      </c>
      <c r="BB83" s="147" t="s">
        <v>1229</v>
      </c>
      <c r="BC83" s="118" t="s">
        <v>1670</v>
      </c>
      <c r="BD83" s="144" t="s">
        <v>1470</v>
      </c>
      <c r="BE83" s="144">
        <f>IFERROR(VLOOKUP(Table5[[#This Row],[HCPCS code 2021Q3]], ASP2021Q3[], 4, FALSE), "")</f>
        <v>3.9750000000000001</v>
      </c>
      <c r="BF83" s="122">
        <f>IFERROR(Table5[[#This Row],[Payment limit 2021Q3]]/Table5[[#This Row],[HCPCS code dosage 2021Q3]], "")</f>
        <v>1.9875E-2</v>
      </c>
      <c r="BG83" s="147" t="s">
        <v>1229</v>
      </c>
      <c r="BH83" s="118" t="s">
        <v>1670</v>
      </c>
      <c r="BI83" s="144" t="s">
        <v>1470</v>
      </c>
      <c r="BJ83" s="144">
        <f>IFERROR(VLOOKUP(Table5[[#This Row],[HCPCS code 2022Q1]], ASP2022Q1[], 4, FALSE), "")</f>
        <v>3.847</v>
      </c>
      <c r="BK83" s="122">
        <f>IFERROR(Table5[[#This Row],[Payment limit 2022Q1]]/Table5[[#This Row],[HCPCS code dosage 2022Q1]], "")</f>
        <v>1.9234999999999999E-2</v>
      </c>
      <c r="BL83" s="144" t="s">
        <v>1229</v>
      </c>
      <c r="BM83" s="184">
        <v>200</v>
      </c>
      <c r="BN83" s="144" t="s">
        <v>1470</v>
      </c>
      <c r="BO83" s="144">
        <f>IFERROR(VLOOKUP(Table5[[#This Row],[HCPCS Code 2022Q3]], ASP2022Q3[], 4, FALSE), "")</f>
        <v>3.7639999999999998</v>
      </c>
      <c r="BP83" s="122">
        <f>IFERROR(Table5[[#This Row],[Payment limit 2022Q3]]/Table5[[#This Row],[HCPCS code dosage 2022Q3]], "")</f>
        <v>1.882E-2</v>
      </c>
      <c r="BQ83" s="144" t="s">
        <v>1229</v>
      </c>
      <c r="BR83" s="118">
        <v>200</v>
      </c>
      <c r="BS83" s="144" t="s">
        <v>1470</v>
      </c>
      <c r="BT83" s="144">
        <v>3.5019999999999998</v>
      </c>
      <c r="BU83" s="144">
        <f>IFERROR(Table5[[#This Row],[Payment limit 2023Q1]]/Table5[[#This Row],[HCPCS code dosage 2023Q1]], "")</f>
        <v>1.7509999999999998E-2</v>
      </c>
      <c r="BV83" s="79"/>
    </row>
    <row r="84" spans="1:74" x14ac:dyDescent="0.3">
      <c r="A84" s="62" t="s">
        <v>20</v>
      </c>
      <c r="B84" s="286" t="s">
        <v>1229</v>
      </c>
      <c r="C84" s="286">
        <v>200</v>
      </c>
      <c r="D84" s="307" t="s">
        <v>1470</v>
      </c>
      <c r="E84" s="292">
        <f>IFERROR(VLOOKUP(Table5[[#This Row],[HCPCS code 2016 Q1]], ASP2016Q1[], 4, FALSE), "")</f>
        <v>8.7170000000000005</v>
      </c>
      <c r="F84" s="303">
        <f>IFERROR(Table5[[#This Row],[Payment Limit 2016Q1]]/Table5[[#This Row],[HCPCS code dosage 2016Q1]], "")</f>
        <v>4.3585000000000006E-2</v>
      </c>
      <c r="G84" s="286" t="s">
        <v>1229</v>
      </c>
      <c r="H84" s="286">
        <v>200</v>
      </c>
      <c r="I84" s="307" t="s">
        <v>1470</v>
      </c>
      <c r="J84" s="292">
        <f>IFERROR(VLOOKUP(Table5[[#This Row],[HCPCS code 2016 Q3]], ASP2016Q3[], 4, FALSE), "")</f>
        <v>7.0469999999999997</v>
      </c>
      <c r="K84" s="303">
        <f>IFERROR(Table5[[#This Row],[Payment Limit 2016Q3]]/Table5[[#This Row],[HCPCS code dosage 2016Q3]], "")</f>
        <v>3.5234999999999995E-2</v>
      </c>
      <c r="L84" s="286" t="s">
        <v>1229</v>
      </c>
      <c r="M84" s="286">
        <v>200</v>
      </c>
      <c r="N84" s="307" t="s">
        <v>1470</v>
      </c>
      <c r="O84" s="291">
        <f>IFERROR(VLOOKUP(Table5[[#This Row],[HCPCS code 2017 Q1]], ASP2017Q1[], 4, FALSE), "")</f>
        <v>5.5529999999999999</v>
      </c>
      <c r="P84" s="302">
        <f>IFERROR(Table5[[#This Row],[Payment Limit 2017Q1]]/Table5[[#This Row],[HCPCS code dosage 2017Q1]], "")</f>
        <v>2.7764999999999998E-2</v>
      </c>
      <c r="Q84" s="275" t="s">
        <v>1229</v>
      </c>
      <c r="R84" s="275">
        <v>200</v>
      </c>
      <c r="S84" s="275" t="s">
        <v>1470</v>
      </c>
      <c r="T84" s="279">
        <f>IFERROR(VLOOKUP(Table5[[#This Row],[HCPCS code 2017 Q3]], ASP2017Q3[], 4, FALSE), "")</f>
        <v>6.165</v>
      </c>
      <c r="U84" s="279">
        <f>IFERROR(Table5[[#This Row],[Payment Limit 2017Q3]]/Table5[[#This Row],[HCPCS code dosage 2017Q3]], "")</f>
        <v>3.0825000000000002E-2</v>
      </c>
      <c r="V84" s="374" t="s">
        <v>1229</v>
      </c>
      <c r="W84" s="377">
        <v>200</v>
      </c>
      <c r="X84" s="142" t="s">
        <v>1470</v>
      </c>
      <c r="Y84" s="279">
        <v>5.9029999999999996</v>
      </c>
      <c r="Z84" s="370">
        <f>IFERROR(Table5[[#This Row],[Payment Limit 2018 Q1]]/Table5[[#This Row],[HCPCS code dosage 2018 Q1]],"")</f>
        <v>2.9515E-2</v>
      </c>
      <c r="AA84" s="374" t="s">
        <v>1229</v>
      </c>
      <c r="AB84" s="381">
        <v>200</v>
      </c>
      <c r="AC84" s="142" t="s">
        <v>1470</v>
      </c>
      <c r="AD84" s="378">
        <v>6.4989999999999997</v>
      </c>
      <c r="AE84" s="370">
        <f>IFERROR(Table5[[#This Row],[Payment Limit 2018 Q3]]/Table5[[#This Row],[HCPCS code dosage 2018 Q3]],"")</f>
        <v>3.2494999999999996E-2</v>
      </c>
      <c r="AF84" s="275" t="s">
        <v>1229</v>
      </c>
      <c r="AG84" s="122">
        <v>2.964E-2</v>
      </c>
      <c r="AH84" s="117" t="s">
        <v>1229</v>
      </c>
      <c r="AI84" s="118" t="s">
        <v>1670</v>
      </c>
      <c r="AJ84" s="118" t="s">
        <v>1470</v>
      </c>
      <c r="AK84" s="115">
        <f>IFERROR(VLOOKUP(Table5[[#This Row],[HCPCS code 2019Q3]], ASP2019Q3[], 4, FALSE), "")</f>
        <v>4.4619999999999997</v>
      </c>
      <c r="AL84" s="72">
        <f>IFERROR(Table5[[#This Row],[Payment Limit 2019Q3]]/Table5[[#This Row],[HCPCS code dosage 2019Q3]], "")</f>
        <v>2.231E-2</v>
      </c>
      <c r="AM84" s="130" t="s">
        <v>1229</v>
      </c>
      <c r="AN84" s="130" t="s">
        <v>1670</v>
      </c>
      <c r="AO84" s="130" t="s">
        <v>1470</v>
      </c>
      <c r="AP84" s="126">
        <f>IFERROR(VLOOKUP(Table5[[#This Row],[HCPCS code 2020Q1]], ASP2020Q1[], 4, FALSE), "")</f>
        <v>4.1559999999999997</v>
      </c>
      <c r="AQ84" s="77">
        <f>IFERROR(Table5[[#This Row],[Payment Limit 2020Q1]]/Table5[[#This Row],[HCPCS code dosage 2020Q1]], "")</f>
        <v>2.078E-2</v>
      </c>
      <c r="AR84" s="133" t="s">
        <v>1229</v>
      </c>
      <c r="AS84" s="130" t="s">
        <v>1670</v>
      </c>
      <c r="AT84" s="130" t="s">
        <v>1470</v>
      </c>
      <c r="AU84" s="132">
        <f>IFERROR(VLOOKUP(Table5[[#This Row],[HCPCS code 2020Q3]], ASP2020Q3[], 4, FALSE), "")</f>
        <v>3.8780000000000001</v>
      </c>
      <c r="AV84" s="72">
        <f>IFERROR(Table5[[#This Row],[Payment limit 2020Q3]]/Table5[[#This Row],[HCPCS code dosage 2020Q3]],"")</f>
        <v>1.9390000000000001E-2</v>
      </c>
      <c r="AW84" s="144" t="s">
        <v>1229</v>
      </c>
      <c r="AX84" s="118" t="s">
        <v>1670</v>
      </c>
      <c r="AY84" s="144" t="s">
        <v>1470</v>
      </c>
      <c r="AZ84" s="144">
        <f>IFERROR(VLOOKUP(Table5[[#This Row],[HCPCS code 2021Q1]], ASP2021Q1[], 4, FALSE), "")</f>
        <v>3.968</v>
      </c>
      <c r="BA84" s="122">
        <f>IFERROR(Table5[[#This Row],[Payment limit 2021Q1]]/Table5[[#This Row],[HCPCS code dosage 2021Q1]], "")</f>
        <v>1.984E-2</v>
      </c>
      <c r="BB84" s="147" t="s">
        <v>1229</v>
      </c>
      <c r="BC84" s="118" t="s">
        <v>1670</v>
      </c>
      <c r="BD84" s="144" t="s">
        <v>1470</v>
      </c>
      <c r="BE84" s="144">
        <f>IFERROR(VLOOKUP(Table5[[#This Row],[HCPCS code 2021Q3]], ASP2021Q3[], 4, FALSE), "")</f>
        <v>3.9750000000000001</v>
      </c>
      <c r="BF84" s="122">
        <f>IFERROR(Table5[[#This Row],[Payment limit 2021Q3]]/Table5[[#This Row],[HCPCS code dosage 2021Q3]], "")</f>
        <v>1.9875E-2</v>
      </c>
      <c r="BG84" s="147" t="s">
        <v>1229</v>
      </c>
      <c r="BH84" s="118" t="s">
        <v>1670</v>
      </c>
      <c r="BI84" s="144" t="s">
        <v>1470</v>
      </c>
      <c r="BJ84" s="144">
        <f>IFERROR(VLOOKUP(Table5[[#This Row],[HCPCS code 2022Q1]], ASP2022Q1[], 4, FALSE), "")</f>
        <v>3.847</v>
      </c>
      <c r="BK84" s="122">
        <f>IFERROR(Table5[[#This Row],[Payment limit 2022Q1]]/Table5[[#This Row],[HCPCS code dosage 2022Q1]], "")</f>
        <v>1.9234999999999999E-2</v>
      </c>
      <c r="BL84" s="144" t="s">
        <v>1229</v>
      </c>
      <c r="BM84" s="184">
        <v>200</v>
      </c>
      <c r="BN84" s="144" t="s">
        <v>1470</v>
      </c>
      <c r="BO84" s="144">
        <f>IFERROR(VLOOKUP(Table5[[#This Row],[HCPCS Code 2022Q3]], ASP2022Q3[], 4, FALSE), "")</f>
        <v>3.7639999999999998</v>
      </c>
      <c r="BP84" s="122">
        <f>IFERROR(Table5[[#This Row],[Payment limit 2022Q3]]/Table5[[#This Row],[HCPCS code dosage 2022Q3]], "")</f>
        <v>1.882E-2</v>
      </c>
      <c r="BQ84" s="144" t="s">
        <v>1229</v>
      </c>
      <c r="BR84" s="118">
        <v>200</v>
      </c>
      <c r="BS84" s="144" t="s">
        <v>1470</v>
      </c>
      <c r="BT84" s="144">
        <v>3.5019999999999998</v>
      </c>
      <c r="BU84" s="144">
        <f>IFERROR(Table5[[#This Row],[Payment limit 2023Q1]]/Table5[[#This Row],[HCPCS code dosage 2023Q1]], "")</f>
        <v>1.7509999999999998E-2</v>
      </c>
      <c r="BV84" s="79"/>
    </row>
    <row r="85" spans="1:74" x14ac:dyDescent="0.3">
      <c r="A85" s="62" t="s">
        <v>172</v>
      </c>
      <c r="B85" s="286"/>
      <c r="C85" s="286"/>
      <c r="D85" s="307"/>
      <c r="E85" s="292" t="str">
        <f>IFERROR(VLOOKUP(Table5[[#This Row],[HCPCS code 2016 Q1]], ASP2016Q1[], 4, FALSE), "")</f>
        <v/>
      </c>
      <c r="F85" s="303" t="str">
        <f>IFERROR(Table5[[#This Row],[Payment Limit 2016Q1]]/Table5[[#This Row],[HCPCS code dosage 2016Q1]], "")</f>
        <v/>
      </c>
      <c r="G85" s="286"/>
      <c r="H85" s="286"/>
      <c r="I85" s="307"/>
      <c r="J85" s="292" t="str">
        <f>IFERROR(VLOOKUP(Table5[[#This Row],[HCPCS code 2016 Q3]], ASP2016Q3[], 4, FALSE), "")</f>
        <v/>
      </c>
      <c r="K85" s="303" t="str">
        <f>IFERROR(Table5[[#This Row],[Payment Limit 2016Q3]]/Table5[[#This Row],[HCPCS code dosage 2016Q3]], "")</f>
        <v/>
      </c>
      <c r="L85" s="286"/>
      <c r="M85" s="286"/>
      <c r="N85" s="307"/>
      <c r="O85" s="291" t="str">
        <f>IFERROR(VLOOKUP(Table5[[#This Row],[HCPCS code 2017 Q1]], ASP2017Q1[], 4, FALSE), "")</f>
        <v/>
      </c>
      <c r="P85" s="302" t="str">
        <f>IFERROR(Table5[[#This Row],[Payment Limit 2017Q1]]/Table5[[#This Row],[HCPCS code dosage 2017Q1]], "")</f>
        <v/>
      </c>
      <c r="Q85" s="275" t="s">
        <v>1529</v>
      </c>
      <c r="R85" s="275" t="s">
        <v>2434</v>
      </c>
      <c r="S85" s="275"/>
      <c r="T85" s="279" t="str">
        <f>IFERROR(VLOOKUP(Table5[[#This Row],[HCPCS code 2017 Q3]], ASP2017Q3[], 4, FALSE), "")</f>
        <v/>
      </c>
      <c r="U85" s="279" t="str">
        <f>IFERROR(Table5[[#This Row],[Payment Limit 2017Q3]]/Table5[[#This Row],[HCPCS code dosage 2017Q3]], "")</f>
        <v/>
      </c>
      <c r="V85" s="374"/>
      <c r="W85" s="377"/>
      <c r="X85" s="142"/>
      <c r="Y85" s="279"/>
      <c r="Z85" s="370"/>
      <c r="AA85" s="374"/>
      <c r="AB85" s="381"/>
      <c r="AC85" s="142"/>
      <c r="AD85" s="378"/>
      <c r="AE85" s="370"/>
      <c r="AF85" s="275" t="s">
        <v>1529</v>
      </c>
      <c r="AG85" s="122"/>
      <c r="AH85" s="117" t="s">
        <v>1529</v>
      </c>
      <c r="AI85" s="118" t="s">
        <v>1671</v>
      </c>
      <c r="AJ85" s="118" t="s">
        <v>1470</v>
      </c>
      <c r="AK85" s="115" t="str">
        <f>IFERROR(VLOOKUP(Table5[[#This Row],[HCPCS code 2019Q3]], ASP2019Q3[], 4, FALSE), "")</f>
        <v/>
      </c>
      <c r="AL85" s="72" t="str">
        <f>IFERROR(Table5[[#This Row],[Payment Limit 2019Q3]]/Table5[[#This Row],[HCPCS code dosage 2019Q3]], "")</f>
        <v/>
      </c>
      <c r="AM85" s="130" t="s">
        <v>1529</v>
      </c>
      <c r="AN85" s="130" t="s">
        <v>1671</v>
      </c>
      <c r="AO85" s="130" t="s">
        <v>1470</v>
      </c>
      <c r="AP85" s="126">
        <f>IFERROR(VLOOKUP(Table5[[#This Row],[HCPCS code 2020Q1]], ASP2020Q1[], 4, FALSE), "")</f>
        <v>199.55199999999999</v>
      </c>
      <c r="AQ85" s="77">
        <f>IFERROR(Table5[[#This Row],[Payment Limit 2020Q1]]/Table5[[#This Row],[HCPCS code dosage 2020Q1]], "")</f>
        <v>1995.5199999999998</v>
      </c>
      <c r="AR85" s="133" t="s">
        <v>1529</v>
      </c>
      <c r="AS85" s="130" t="s">
        <v>1671</v>
      </c>
      <c r="AT85" s="130" t="s">
        <v>1470</v>
      </c>
      <c r="AU85" s="132">
        <f>IFERROR(VLOOKUP(Table5[[#This Row],[HCPCS code 2020Q3]], ASP2020Q3[], 4, FALSE), "")</f>
        <v>204.989</v>
      </c>
      <c r="AV85" s="72">
        <f>IFERROR(Table5[[#This Row],[Payment limit 2020Q3]]/Table5[[#This Row],[HCPCS code dosage 2020Q3]],"")</f>
        <v>2049.89</v>
      </c>
      <c r="AW85" s="144" t="s">
        <v>1529</v>
      </c>
      <c r="AX85" s="118" t="s">
        <v>1671</v>
      </c>
      <c r="AY85" s="144" t="s">
        <v>1470</v>
      </c>
      <c r="AZ85" s="144">
        <f>IFERROR(VLOOKUP(Table5[[#This Row],[HCPCS code 2021Q1]], ASP2021Q1[], 4, FALSE), "")</f>
        <v>205.36199999999999</v>
      </c>
      <c r="BA85" s="122">
        <f>IFERROR(Table5[[#This Row],[Payment limit 2021Q1]]/Table5[[#This Row],[HCPCS code dosage 2021Q1]], "")</f>
        <v>2053.62</v>
      </c>
      <c r="BB85" s="147" t="s">
        <v>1529</v>
      </c>
      <c r="BC85" s="118" t="s">
        <v>1671</v>
      </c>
      <c r="BD85" s="144" t="s">
        <v>1470</v>
      </c>
      <c r="BE85" s="144">
        <f>IFERROR(VLOOKUP(Table5[[#This Row],[HCPCS code 2021Q3]], ASP2021Q3[], 4, FALSE), "")</f>
        <v>207.99199999999999</v>
      </c>
      <c r="BF85" s="122">
        <f>IFERROR(Table5[[#This Row],[Payment limit 2021Q3]]/Table5[[#This Row],[HCPCS code dosage 2021Q3]], "")</f>
        <v>2079.9199999999996</v>
      </c>
      <c r="BG85" s="147" t="s">
        <v>1529</v>
      </c>
      <c r="BH85" s="118" t="s">
        <v>1671</v>
      </c>
      <c r="BI85" s="144" t="s">
        <v>1470</v>
      </c>
      <c r="BJ85" s="144">
        <f>IFERROR(VLOOKUP(Table5[[#This Row],[HCPCS code 2022Q1]], ASP2022Q1[], 4, FALSE), "")</f>
        <v>211.11199999999999</v>
      </c>
      <c r="BK85" s="122">
        <f>IFERROR(Table5[[#This Row],[Payment limit 2022Q1]]/Table5[[#This Row],[HCPCS code dosage 2022Q1]], "")</f>
        <v>2111.12</v>
      </c>
      <c r="BL85" s="144" t="s">
        <v>1529</v>
      </c>
      <c r="BM85" s="184">
        <v>0.1</v>
      </c>
      <c r="BN85" s="144" t="s">
        <v>1470</v>
      </c>
      <c r="BO85" s="144">
        <f>IFERROR(VLOOKUP(Table5[[#This Row],[HCPCS Code 2022Q3]], ASP2022Q3[], 4, FALSE), "")</f>
        <v>214.279</v>
      </c>
      <c r="BP85" s="122">
        <f>IFERROR(Table5[[#This Row],[Payment limit 2022Q3]]/Table5[[#This Row],[HCPCS code dosage 2022Q3]], "")</f>
        <v>2142.79</v>
      </c>
      <c r="BQ85" s="144" t="s">
        <v>1529</v>
      </c>
      <c r="BR85" s="118">
        <v>0.1</v>
      </c>
      <c r="BS85" s="144" t="s">
        <v>1470</v>
      </c>
      <c r="BT85" s="144">
        <v>217.43199999999999</v>
      </c>
      <c r="BU85" s="144">
        <f>IFERROR(Table5[[#This Row],[Payment limit 2023Q1]]/Table5[[#This Row],[HCPCS code dosage 2023Q1]], "")</f>
        <v>2174.3199999999997</v>
      </c>
      <c r="BV85" s="79" t="s">
        <v>1530</v>
      </c>
    </row>
    <row r="86" spans="1:74" x14ac:dyDescent="0.3">
      <c r="A86" s="69" t="s">
        <v>1694</v>
      </c>
      <c r="B86" s="273" t="s">
        <v>1231</v>
      </c>
      <c r="C86" s="273">
        <v>3.6</v>
      </c>
      <c r="D86" s="275" t="s">
        <v>1470</v>
      </c>
      <c r="E86" s="280">
        <f>IFERROR(VLOOKUP(Table5[[#This Row],[HCPCS code 2016 Q1]], ASP2016Q1[], 4, FALSE), "")</f>
        <v>276.66300000000001</v>
      </c>
      <c r="F86" s="305">
        <f>IFERROR(Table5[[#This Row],[Payment Limit 2016Q1]]/Table5[[#This Row],[HCPCS code dosage 2016Q1]], "")</f>
        <v>76.850833333333341</v>
      </c>
      <c r="G86" s="273" t="s">
        <v>1231</v>
      </c>
      <c r="H86" s="273">
        <v>3.6</v>
      </c>
      <c r="I86" s="275" t="s">
        <v>1470</v>
      </c>
      <c r="J86" s="280">
        <f>IFERROR(VLOOKUP(Table5[[#This Row],[HCPCS code 2016 Q3]], ASP2016Q3[], 4, FALSE), "")</f>
        <v>304.267</v>
      </c>
      <c r="K86" s="305">
        <f>IFERROR(Table5[[#This Row],[Payment Limit 2016Q3]]/Table5[[#This Row],[HCPCS code dosage 2016Q3]], "")</f>
        <v>84.518611111111113</v>
      </c>
      <c r="L86" s="273" t="s">
        <v>1231</v>
      </c>
      <c r="M86" s="273">
        <v>3.6</v>
      </c>
      <c r="N86" s="275" t="s">
        <v>1470</v>
      </c>
      <c r="O86" s="291">
        <f>IFERROR(VLOOKUP(Table5[[#This Row],[HCPCS code 2017 Q1]], ASP2017Q1[], 4, FALSE), "")</f>
        <v>327.36799999999999</v>
      </c>
      <c r="P86" s="302">
        <f>IFERROR(Table5[[#This Row],[Payment Limit 2017Q1]]/Table5[[#This Row],[HCPCS code dosage 2017Q1]], "")</f>
        <v>90.935555555555553</v>
      </c>
      <c r="Q86" s="275" t="s">
        <v>1231</v>
      </c>
      <c r="R86" s="275">
        <v>3.6</v>
      </c>
      <c r="S86" s="275" t="s">
        <v>1470</v>
      </c>
      <c r="T86" s="280">
        <f>IFERROR(VLOOKUP(Table5[[#This Row],[HCPCS code 2017 Q3]], ASP2017Q3[], 4, FALSE), "")</f>
        <v>326.00799999999998</v>
      </c>
      <c r="U86" s="280">
        <f>IFERROR(Table5[[#This Row],[Payment Limit 2017Q3]]/Table5[[#This Row],[HCPCS code dosage 2017Q3]], "")</f>
        <v>90.557777777777773</v>
      </c>
      <c r="V86" s="374" t="s">
        <v>1231</v>
      </c>
      <c r="W86" s="377">
        <v>3.6</v>
      </c>
      <c r="X86" s="142" t="s">
        <v>1470</v>
      </c>
      <c r="Y86" s="280">
        <v>375.69299999999998</v>
      </c>
      <c r="Z86" s="305">
        <f>IFERROR(Table5[[#This Row],[Payment Limit 2018 Q1]]/Table5[[#This Row],[HCPCS code dosage 2018 Q1]],"")</f>
        <v>104.35916666666665</v>
      </c>
      <c r="AA86" s="374" t="s">
        <v>1231</v>
      </c>
      <c r="AB86" s="381">
        <v>3.6</v>
      </c>
      <c r="AC86" s="142" t="s">
        <v>1470</v>
      </c>
      <c r="AD86" s="378">
        <v>467.57600000000002</v>
      </c>
      <c r="AE86" s="305">
        <f>IFERROR(Table5[[#This Row],[Payment Limit 2018 Q3]]/Table5[[#This Row],[HCPCS code dosage 2018 Q3]],"")</f>
        <v>129.88222222222223</v>
      </c>
      <c r="AF86" s="273" t="s">
        <v>1231</v>
      </c>
      <c r="AG86" s="122">
        <v>139.2236111111111</v>
      </c>
      <c r="AH86" s="117" t="s">
        <v>1231</v>
      </c>
      <c r="AI86" s="118">
        <v>3.6</v>
      </c>
      <c r="AJ86" s="118" t="s">
        <v>1470</v>
      </c>
      <c r="AK86" s="115">
        <f>IFERROR(VLOOKUP(Table5[[#This Row],[HCPCS code 2019Q3]], ASP2019Q3[], 4, FALSE), "")</f>
        <v>500.24599999999998</v>
      </c>
      <c r="AL86" s="72">
        <f>IFERROR(Table5[[#This Row],[Payment Limit 2019Q3]]/Table5[[#This Row],[HCPCS code dosage 2019Q3]], "")</f>
        <v>138.95722222222221</v>
      </c>
      <c r="AM86" s="130" t="s">
        <v>1231</v>
      </c>
      <c r="AN86" s="130">
        <v>3.6</v>
      </c>
      <c r="AO86" s="130" t="s">
        <v>1470</v>
      </c>
      <c r="AP86" s="126">
        <f>IFERROR(VLOOKUP(Table5[[#This Row],[HCPCS code 2020Q1]], ASP2020Q1[], 4, FALSE), "")</f>
        <v>503.98399999999998</v>
      </c>
      <c r="AQ86" s="77">
        <f>IFERROR(Table5[[#This Row],[Payment Limit 2020Q1]]/Table5[[#This Row],[HCPCS code dosage 2020Q1]], "")</f>
        <v>139.99555555555554</v>
      </c>
      <c r="AR86" s="133" t="s">
        <v>1231</v>
      </c>
      <c r="AS86" s="130">
        <v>3.6</v>
      </c>
      <c r="AT86" s="130" t="s">
        <v>1470</v>
      </c>
      <c r="AU86" s="132">
        <f>IFERROR(VLOOKUP(Table5[[#This Row],[HCPCS code 2020Q3]], ASP2020Q3[], 4, FALSE), "")</f>
        <v>504.29599999999999</v>
      </c>
      <c r="AV86" s="72">
        <f>IFERROR(Table5[[#This Row],[Payment limit 2020Q3]]/Table5[[#This Row],[HCPCS code dosage 2020Q3]],"")</f>
        <v>140.08222222222221</v>
      </c>
      <c r="AW86" s="144" t="s">
        <v>1231</v>
      </c>
      <c r="AX86" s="118">
        <v>3.6</v>
      </c>
      <c r="AY86" s="144" t="s">
        <v>1470</v>
      </c>
      <c r="AZ86" s="144">
        <f>IFERROR(VLOOKUP(Table5[[#This Row],[HCPCS code 2021Q1]], ASP2021Q1[], 4, FALSE), "")</f>
        <v>501.26600000000002</v>
      </c>
      <c r="BA86" s="122">
        <f>IFERROR(Table5[[#This Row],[Payment limit 2021Q1]]/Table5[[#This Row],[HCPCS code dosage 2021Q1]], "")</f>
        <v>139.24055555555555</v>
      </c>
      <c r="BB86" s="147" t="s">
        <v>1231</v>
      </c>
      <c r="BC86" s="118">
        <v>3.6</v>
      </c>
      <c r="BD86" s="144" t="s">
        <v>1470</v>
      </c>
      <c r="BE86" s="144">
        <f>IFERROR(VLOOKUP(Table5[[#This Row],[HCPCS code 2021Q3]], ASP2021Q3[], 4, FALSE), "")</f>
        <v>531.62599999999998</v>
      </c>
      <c r="BF86" s="122">
        <f>IFERROR(Table5[[#This Row],[Payment limit 2021Q3]]/Table5[[#This Row],[HCPCS code dosage 2021Q3]], "")</f>
        <v>147.67388888888888</v>
      </c>
      <c r="BG86" s="147" t="s">
        <v>1231</v>
      </c>
      <c r="BH86" s="118">
        <v>3.6</v>
      </c>
      <c r="BI86" s="144" t="s">
        <v>1470</v>
      </c>
      <c r="BJ86" s="144">
        <f>IFERROR(VLOOKUP(Table5[[#This Row],[HCPCS code 2022Q1]], ASP2022Q1[], 4, FALSE), "")</f>
        <v>543.15800000000002</v>
      </c>
      <c r="BK86" s="122">
        <f>IFERROR(Table5[[#This Row],[Payment limit 2022Q1]]/Table5[[#This Row],[HCPCS code dosage 2022Q1]], "")</f>
        <v>150.87722222222223</v>
      </c>
      <c r="BL86" s="144" t="s">
        <v>1231</v>
      </c>
      <c r="BM86" s="184">
        <v>3.6</v>
      </c>
      <c r="BN86" s="144" t="s">
        <v>1470</v>
      </c>
      <c r="BO86" s="144">
        <f>IFERROR(VLOOKUP(Table5[[#This Row],[HCPCS Code 2022Q3]], ASP2022Q3[], 4, FALSE), "")</f>
        <v>576.1</v>
      </c>
      <c r="BP86" s="122">
        <f>IFERROR(Table5[[#This Row],[Payment limit 2022Q3]]/Table5[[#This Row],[HCPCS code dosage 2022Q3]], "")</f>
        <v>160.02777777777777</v>
      </c>
      <c r="BQ86" s="144" t="s">
        <v>1231</v>
      </c>
      <c r="BR86" s="118">
        <v>3.6</v>
      </c>
      <c r="BS86" s="144" t="s">
        <v>1470</v>
      </c>
      <c r="BT86" s="144">
        <v>567.92899999999997</v>
      </c>
      <c r="BU86" s="144">
        <f>IFERROR(Table5[[#This Row],[Payment limit 2023Q1]]/Table5[[#This Row],[HCPCS code dosage 2023Q1]], "")</f>
        <v>157.75805555555556</v>
      </c>
      <c r="BV86" s="79"/>
    </row>
    <row r="87" spans="1:74" x14ac:dyDescent="0.3">
      <c r="A87" s="69" t="s">
        <v>1710</v>
      </c>
      <c r="B87" s="273" t="s">
        <v>608</v>
      </c>
      <c r="C87" s="273">
        <v>0.1</v>
      </c>
      <c r="D87" s="275" t="s">
        <v>1470</v>
      </c>
      <c r="E87" s="280">
        <f>IFERROR(VLOOKUP(Table5[[#This Row],[HCPCS code 2016 Q1]], ASP2016Q1[], 4, FALSE), "")</f>
        <v>0.432</v>
      </c>
      <c r="F87" s="305">
        <f>IFERROR(Table5[[#This Row],[Payment Limit 2016Q1]]/Table5[[#This Row],[HCPCS code dosage 2016Q1]], "")</f>
        <v>4.3199999999999994</v>
      </c>
      <c r="G87" s="273" t="s">
        <v>608</v>
      </c>
      <c r="H87" s="273">
        <v>0.1</v>
      </c>
      <c r="I87" s="275" t="s">
        <v>1470</v>
      </c>
      <c r="J87" s="280">
        <f>IFERROR(VLOOKUP(Table5[[#This Row],[HCPCS code 2016 Q3]], ASP2016Q3[], 4, FALSE), "")</f>
        <v>0.32</v>
      </c>
      <c r="K87" s="305">
        <f>IFERROR(Table5[[#This Row],[Payment Limit 2016Q3]]/Table5[[#This Row],[HCPCS code dosage 2016Q3]], "")</f>
        <v>3.1999999999999997</v>
      </c>
      <c r="L87" s="273" t="s">
        <v>608</v>
      </c>
      <c r="M87" s="273">
        <v>0.1</v>
      </c>
      <c r="N87" s="275" t="s">
        <v>1470</v>
      </c>
      <c r="O87" s="291">
        <f>IFERROR(VLOOKUP(Table5[[#This Row],[HCPCS code 2017 Q1]], ASP2017Q1[], 4, FALSE), "")</f>
        <v>0.33400000000000002</v>
      </c>
      <c r="P87" s="302">
        <f>IFERROR(Table5[[#This Row],[Payment Limit 2017Q1]]/Table5[[#This Row],[HCPCS code dosage 2017Q1]], "")</f>
        <v>3.34</v>
      </c>
      <c r="Q87" s="275" t="s">
        <v>608</v>
      </c>
      <c r="R87" s="275">
        <v>0.1</v>
      </c>
      <c r="S87" s="275" t="s">
        <v>1470</v>
      </c>
      <c r="T87" s="280">
        <f>IFERROR(VLOOKUP(Table5[[#This Row],[HCPCS code 2017 Q3]], ASP2017Q3[], 4, FALSE), "")</f>
        <v>0.32600000000000001</v>
      </c>
      <c r="U87" s="280">
        <f>IFERROR(Table5[[#This Row],[Payment Limit 2017Q3]]/Table5[[#This Row],[HCPCS code dosage 2017Q3]], "")</f>
        <v>3.26</v>
      </c>
      <c r="V87" s="374" t="s">
        <v>608</v>
      </c>
      <c r="W87" s="377">
        <v>0.1</v>
      </c>
      <c r="X87" s="142" t="s">
        <v>1470</v>
      </c>
      <c r="Y87" s="280">
        <v>0.29799999999999999</v>
      </c>
      <c r="Z87" s="305">
        <f>IFERROR(Table5[[#This Row],[Payment Limit 2018 Q1]]/Table5[[#This Row],[HCPCS code dosage 2018 Q1]],"")</f>
        <v>2.9799999999999995</v>
      </c>
      <c r="AA87" s="374" t="s">
        <v>608</v>
      </c>
      <c r="AB87" s="381">
        <v>0.1</v>
      </c>
      <c r="AC87" s="142" t="s">
        <v>1470</v>
      </c>
      <c r="AD87" s="378">
        <v>0.31900000000000001</v>
      </c>
      <c r="AE87" s="305">
        <f>IFERROR(Table5[[#This Row],[Payment Limit 2018 Q3]]/Table5[[#This Row],[HCPCS code dosage 2018 Q3]],"")</f>
        <v>3.19</v>
      </c>
      <c r="AF87" s="273" t="s">
        <v>608</v>
      </c>
      <c r="AG87" s="122">
        <v>4.3999999999999995</v>
      </c>
      <c r="AH87" s="117" t="s">
        <v>608</v>
      </c>
      <c r="AI87" s="118">
        <v>0.1</v>
      </c>
      <c r="AJ87" s="118" t="s">
        <v>1470</v>
      </c>
      <c r="AK87" s="115">
        <f>IFERROR(VLOOKUP(Table5[[#This Row],[HCPCS code 2019Q3]], ASP2019Q3[], 4, FALSE), "")</f>
        <v>0.30099999999999999</v>
      </c>
      <c r="AL87" s="72">
        <f>IFERROR(Table5[[#This Row],[Payment Limit 2019Q3]]/Table5[[#This Row],[HCPCS code dosage 2019Q3]], "")</f>
        <v>3.01</v>
      </c>
      <c r="AM87" s="130" t="s">
        <v>608</v>
      </c>
      <c r="AN87" s="130">
        <v>0.1</v>
      </c>
      <c r="AO87" s="130" t="s">
        <v>1470</v>
      </c>
      <c r="AP87" s="126">
        <f>IFERROR(VLOOKUP(Table5[[#This Row],[HCPCS code 2020Q1]], ASP2020Q1[], 4, FALSE), "")</f>
        <v>0.23699999999999999</v>
      </c>
      <c r="AQ87" s="77">
        <f>IFERROR(Table5[[#This Row],[Payment Limit 2020Q1]]/Table5[[#This Row],[HCPCS code dosage 2020Q1]], "")</f>
        <v>2.3699999999999997</v>
      </c>
      <c r="AR87" s="133" t="s">
        <v>608</v>
      </c>
      <c r="AS87" s="130">
        <v>0.1</v>
      </c>
      <c r="AT87" s="130" t="s">
        <v>1470</v>
      </c>
      <c r="AU87" s="132">
        <f>IFERROR(VLOOKUP(Table5[[#This Row],[HCPCS code 2020Q3]], ASP2020Q3[], 4, FALSE), "")</f>
        <v>0.26</v>
      </c>
      <c r="AV87" s="72">
        <f>IFERROR(Table5[[#This Row],[Payment limit 2020Q3]]/Table5[[#This Row],[HCPCS code dosage 2020Q3]],"")</f>
        <v>2.6</v>
      </c>
      <c r="AW87" s="144" t="s">
        <v>608</v>
      </c>
      <c r="AX87" s="118">
        <v>0.1</v>
      </c>
      <c r="AY87" s="144" t="s">
        <v>1470</v>
      </c>
      <c r="AZ87" s="144">
        <f>IFERROR(VLOOKUP(Table5[[#This Row],[HCPCS code 2021Q1]], ASP2021Q1[], 4, FALSE), "")</f>
        <v>0.222</v>
      </c>
      <c r="BA87" s="122">
        <f>IFERROR(Table5[[#This Row],[Payment limit 2021Q1]]/Table5[[#This Row],[HCPCS code dosage 2021Q1]], "")</f>
        <v>2.2199999999999998</v>
      </c>
      <c r="BB87" s="147" t="s">
        <v>608</v>
      </c>
      <c r="BC87" s="118">
        <v>0.1</v>
      </c>
      <c r="BD87" s="144" t="s">
        <v>1470</v>
      </c>
      <c r="BE87" s="144">
        <f>IFERROR(VLOOKUP(Table5[[#This Row],[HCPCS code 2021Q3]], ASP2021Q3[], 4, FALSE), "")</f>
        <v>0.26600000000000001</v>
      </c>
      <c r="BF87" s="122">
        <f>IFERROR(Table5[[#This Row],[Payment limit 2021Q3]]/Table5[[#This Row],[HCPCS code dosage 2021Q3]], "")</f>
        <v>2.66</v>
      </c>
      <c r="BG87" s="147" t="s">
        <v>608</v>
      </c>
      <c r="BH87" s="118">
        <v>0.1</v>
      </c>
      <c r="BI87" s="144" t="s">
        <v>1470</v>
      </c>
      <c r="BJ87" s="144">
        <f>IFERROR(VLOOKUP(Table5[[#This Row],[HCPCS code 2022Q1]], ASP2022Q1[], 4, FALSE), "")</f>
        <v>0.34499999999999997</v>
      </c>
      <c r="BK87" s="122">
        <f>IFERROR(Table5[[#This Row],[Payment limit 2022Q1]]/Table5[[#This Row],[HCPCS code dosage 2022Q1]], "")</f>
        <v>3.4499999999999997</v>
      </c>
      <c r="BL87" s="144" t="s">
        <v>608</v>
      </c>
      <c r="BM87" s="184">
        <v>0.1</v>
      </c>
      <c r="BN87" s="144" t="s">
        <v>1470</v>
      </c>
      <c r="BO87" s="144">
        <f>IFERROR(VLOOKUP(Table5[[#This Row],[HCPCS Code 2022Q3]], ASP2022Q3[], 4, FALSE), "")</f>
        <v>0.311</v>
      </c>
      <c r="BP87" s="122">
        <f>IFERROR(Table5[[#This Row],[Payment limit 2022Q3]]/Table5[[#This Row],[HCPCS code dosage 2022Q3]], "")</f>
        <v>3.11</v>
      </c>
      <c r="BQ87" s="144" t="s">
        <v>608</v>
      </c>
      <c r="BR87" s="118">
        <v>100</v>
      </c>
      <c r="BS87" s="144" t="s">
        <v>2369</v>
      </c>
      <c r="BT87" s="144">
        <v>0.36099999999999999</v>
      </c>
      <c r="BU87" s="144">
        <f>IFERROR(Table5[[#This Row],[Payment limit 2023Q1]]/Table5[[#This Row],[HCPCS code dosage 2023Q1]], "")</f>
        <v>3.6099999999999999E-3</v>
      </c>
      <c r="BV87" s="79"/>
    </row>
    <row r="88" spans="1:74" x14ac:dyDescent="0.3">
      <c r="A88" s="69" t="s">
        <v>1705</v>
      </c>
      <c r="B88" s="273" t="s">
        <v>1366</v>
      </c>
      <c r="C88" s="273">
        <v>1</v>
      </c>
      <c r="D88" s="275" t="s">
        <v>1470</v>
      </c>
      <c r="E88" s="280">
        <f>IFERROR(VLOOKUP(Table5[[#This Row],[HCPCS code 2016 Q1]], ASP2016Q1[], 4, FALSE), "")</f>
        <v>1.3</v>
      </c>
      <c r="F88" s="305">
        <f>IFERROR(Table5[[#This Row],[Payment Limit 2016Q1]]/Table5[[#This Row],[HCPCS code dosage 2016Q1]], "")</f>
        <v>1.3</v>
      </c>
      <c r="G88" s="273" t="s">
        <v>1366</v>
      </c>
      <c r="H88" s="273">
        <v>1</v>
      </c>
      <c r="I88" s="275" t="s">
        <v>1470</v>
      </c>
      <c r="J88" s="280">
        <f>IFERROR(VLOOKUP(Table5[[#This Row],[HCPCS code 2016 Q3]], ASP2016Q3[], 4, FALSE), "")</f>
        <v>0.94199999999999995</v>
      </c>
      <c r="K88" s="305">
        <f>IFERROR(Table5[[#This Row],[Payment Limit 2016Q3]]/Table5[[#This Row],[HCPCS code dosage 2016Q3]], "")</f>
        <v>0.94199999999999995</v>
      </c>
      <c r="L88" s="273" t="s">
        <v>1366</v>
      </c>
      <c r="M88" s="273">
        <v>1</v>
      </c>
      <c r="N88" s="275" t="s">
        <v>1470</v>
      </c>
      <c r="O88" s="291">
        <f>IFERROR(VLOOKUP(Table5[[#This Row],[HCPCS code 2017 Q1]], ASP2017Q1[], 4, FALSE), "")</f>
        <v>4.923</v>
      </c>
      <c r="P88" s="302">
        <f>IFERROR(Table5[[#This Row],[Payment Limit 2017Q1]]/Table5[[#This Row],[HCPCS code dosage 2017Q1]], "")</f>
        <v>4.923</v>
      </c>
      <c r="Q88" s="275" t="s">
        <v>1366</v>
      </c>
      <c r="R88" s="275">
        <v>1</v>
      </c>
      <c r="S88" s="275" t="s">
        <v>1470</v>
      </c>
      <c r="T88" s="280">
        <f>IFERROR(VLOOKUP(Table5[[#This Row],[HCPCS code 2017 Q3]], ASP2017Q3[], 4, FALSE), "")</f>
        <v>2.3570000000000002</v>
      </c>
      <c r="U88" s="280">
        <f>IFERROR(Table5[[#This Row],[Payment Limit 2017Q3]]/Table5[[#This Row],[HCPCS code dosage 2017Q3]], "")</f>
        <v>2.3570000000000002</v>
      </c>
      <c r="V88" s="374" t="s">
        <v>1366</v>
      </c>
      <c r="W88" s="377">
        <v>1</v>
      </c>
      <c r="X88" s="142" t="s">
        <v>1470</v>
      </c>
      <c r="Y88" s="280">
        <v>2</v>
      </c>
      <c r="Z88" s="305">
        <f>IFERROR(Table5[[#This Row],[Payment Limit 2018 Q1]]/Table5[[#This Row],[HCPCS code dosage 2018 Q1]],"")</f>
        <v>2</v>
      </c>
      <c r="AA88" s="374" t="s">
        <v>1366</v>
      </c>
      <c r="AB88" s="381">
        <v>1</v>
      </c>
      <c r="AC88" s="142" t="s">
        <v>1470</v>
      </c>
      <c r="AD88" s="378">
        <v>1.4730000000000001</v>
      </c>
      <c r="AE88" s="305">
        <f>IFERROR(Table5[[#This Row],[Payment Limit 2018 Q3]]/Table5[[#This Row],[HCPCS code dosage 2018 Q3]],"")</f>
        <v>1.4730000000000001</v>
      </c>
      <c r="AF88" s="273" t="s">
        <v>1366</v>
      </c>
      <c r="AG88" s="195">
        <v>2.871</v>
      </c>
      <c r="AH88" s="117" t="s">
        <v>1366</v>
      </c>
      <c r="AI88" s="118">
        <v>1</v>
      </c>
      <c r="AJ88" s="118" t="s">
        <v>1470</v>
      </c>
      <c r="AK88" s="115">
        <f>IFERROR(VLOOKUP(Table5[[#This Row],[HCPCS code 2019Q3]], ASP2019Q3[], 4, FALSE), "")</f>
        <v>3.0059999999999998</v>
      </c>
      <c r="AL88" s="140">
        <f>IFERROR(Table5[[#This Row],[Payment Limit 2019Q3]]/Table5[[#This Row],[HCPCS code dosage 2019Q3]], "")</f>
        <v>3.0059999999999998</v>
      </c>
      <c r="AM88" s="130" t="s">
        <v>1366</v>
      </c>
      <c r="AN88" s="130">
        <v>1</v>
      </c>
      <c r="AO88" s="130" t="s">
        <v>1470</v>
      </c>
      <c r="AP88" s="126">
        <f>IFERROR(VLOOKUP(Table5[[#This Row],[HCPCS code 2020Q1]], ASP2020Q1[], 4, FALSE), "")</f>
        <v>0.69299999999999995</v>
      </c>
      <c r="AQ88" s="141">
        <f>IFERROR(Table5[[#This Row],[Payment Limit 2020Q1]]/Table5[[#This Row],[HCPCS code dosage 2020Q1]], "")</f>
        <v>0.69299999999999995</v>
      </c>
      <c r="AR88" s="133" t="s">
        <v>1366</v>
      </c>
      <c r="AS88" s="130">
        <v>1</v>
      </c>
      <c r="AT88" s="130" t="s">
        <v>1470</v>
      </c>
      <c r="AU88" s="132">
        <f>IFERROR(VLOOKUP(Table5[[#This Row],[HCPCS code 2020Q3]], ASP2020Q3[], 4, FALSE), "")</f>
        <v>1.0349999999999999</v>
      </c>
      <c r="AV88" s="140">
        <f>IFERROR(Table5[[#This Row],[Payment limit 2020Q3]]/Table5[[#This Row],[HCPCS code dosage 2020Q3]],"")</f>
        <v>1.0349999999999999</v>
      </c>
      <c r="AW88" s="144" t="s">
        <v>1366</v>
      </c>
      <c r="AX88" s="118">
        <v>1</v>
      </c>
      <c r="AY88" s="144" t="s">
        <v>1470</v>
      </c>
      <c r="AZ88" s="144">
        <f>IFERROR(VLOOKUP(Table5[[#This Row],[HCPCS code 2021Q1]], ASP2021Q1[], 4, FALSE), "")</f>
        <v>1.4630000000000001</v>
      </c>
      <c r="BA88" s="144">
        <f>IFERROR(Table5[[#This Row],[Payment limit 2021Q1]]/Table5[[#This Row],[HCPCS code dosage 2021Q1]], "")</f>
        <v>1.4630000000000001</v>
      </c>
      <c r="BB88" s="147" t="s">
        <v>1366</v>
      </c>
      <c r="BC88" s="118">
        <v>1</v>
      </c>
      <c r="BD88" s="144" t="s">
        <v>1470</v>
      </c>
      <c r="BE88" s="144">
        <f>IFERROR(VLOOKUP(Table5[[#This Row],[HCPCS code 2021Q3]], ASP2021Q3[], 4, FALSE), "")</f>
        <v>1.4630000000000001</v>
      </c>
      <c r="BF88" s="144">
        <f>IFERROR(Table5[[#This Row],[Payment limit 2021Q3]]/Table5[[#This Row],[HCPCS code dosage 2021Q3]], "")</f>
        <v>1.4630000000000001</v>
      </c>
      <c r="BG88" s="147" t="s">
        <v>1366</v>
      </c>
      <c r="BH88" s="118">
        <v>1</v>
      </c>
      <c r="BI88" s="144" t="s">
        <v>1470</v>
      </c>
      <c r="BJ88" s="144" t="str">
        <f>IFERROR(VLOOKUP(Table5[[#This Row],[HCPCS code 2022Q1]], ASP2022Q1[], 4, FALSE), "")</f>
        <v/>
      </c>
      <c r="BK88" s="144" t="str">
        <f>IFERROR(Table5[[#This Row],[Payment limit 2022Q1]]/Table5[[#This Row],[HCPCS code dosage 2022Q1]], "")</f>
        <v/>
      </c>
      <c r="BL88" s="144" t="s">
        <v>1366</v>
      </c>
      <c r="BM88" s="184">
        <v>1</v>
      </c>
      <c r="BN88" s="144" t="s">
        <v>1470</v>
      </c>
      <c r="BO88" s="146" t="str">
        <f>IFERROR(VLOOKUP(Table5[[#This Row],[HCPCS Code 2022Q3]], ASP2022Q3[], 4, FALSE), "")</f>
        <v/>
      </c>
      <c r="BP88" s="123" t="str">
        <f>IFERROR(Table5[[#This Row],[Payment limit 2022Q3]]/Table5[[#This Row],[HCPCS code dosage 2022Q3]], "")</f>
        <v/>
      </c>
      <c r="BQ88" s="245" t="s">
        <v>1366</v>
      </c>
      <c r="BR88" s="120"/>
      <c r="BS88" s="146"/>
      <c r="BT88" s="146" t="s">
        <v>2365</v>
      </c>
      <c r="BU88" s="146" t="str">
        <f>IFERROR(Table5[[#This Row],[Payment limit 2023Q1]]/Table5[[#This Row],[HCPCS code dosage 2023Q1]], "")</f>
        <v/>
      </c>
      <c r="BV88" s="196"/>
    </row>
    <row r="89" spans="1:74" x14ac:dyDescent="0.3">
      <c r="A89" s="69" t="s">
        <v>1716</v>
      </c>
      <c r="B89" s="273" t="s">
        <v>1254</v>
      </c>
      <c r="C89" s="273">
        <v>50</v>
      </c>
      <c r="D89" s="275" t="s">
        <v>1470</v>
      </c>
      <c r="E89" s="280">
        <f>IFERROR(VLOOKUP(Table5[[#This Row],[HCPCS code 2016 Q1]], ASP2016Q1[], 4, FALSE), "")</f>
        <v>3007.3969999999999</v>
      </c>
      <c r="F89" s="305">
        <f>IFERROR(Table5[[#This Row],[Payment Limit 2016Q1]]/Table5[[#This Row],[HCPCS code dosage 2016Q1]], "")</f>
        <v>60.147939999999998</v>
      </c>
      <c r="G89" s="273" t="s">
        <v>1254</v>
      </c>
      <c r="H89" s="273">
        <v>50</v>
      </c>
      <c r="I89" s="275" t="s">
        <v>1470</v>
      </c>
      <c r="J89" s="280">
        <f>IFERROR(VLOOKUP(Table5[[#This Row],[HCPCS code 2016 Q3]], ASP2016Q3[], 4, FALSE), "")</f>
        <v>3088.0720000000001</v>
      </c>
      <c r="K89" s="305">
        <f>IFERROR(Table5[[#This Row],[Payment Limit 2016Q3]]/Table5[[#This Row],[HCPCS code dosage 2016Q3]], "")</f>
        <v>61.76144</v>
      </c>
      <c r="L89" s="273" t="s">
        <v>1254</v>
      </c>
      <c r="M89" s="273">
        <v>50</v>
      </c>
      <c r="N89" s="275" t="s">
        <v>1470</v>
      </c>
      <c r="O89" s="291">
        <f>IFERROR(VLOOKUP(Table5[[#This Row],[HCPCS code 2017 Q1]], ASP2017Q1[], 4, FALSE), "")</f>
        <v>3152.2910000000002</v>
      </c>
      <c r="P89" s="302">
        <f>IFERROR(Table5[[#This Row],[Payment Limit 2017Q1]]/Table5[[#This Row],[HCPCS code dosage 2017Q1]], "")</f>
        <v>63.045820000000006</v>
      </c>
      <c r="Q89" s="275" t="s">
        <v>1254</v>
      </c>
      <c r="R89" s="275">
        <v>50</v>
      </c>
      <c r="S89" s="275" t="s">
        <v>1470</v>
      </c>
      <c r="T89" s="280">
        <f>IFERROR(VLOOKUP(Table5[[#This Row],[HCPCS code 2017 Q3]], ASP2017Q3[], 4, FALSE), "")</f>
        <v>3203.1080000000002</v>
      </c>
      <c r="U89" s="280">
        <f>IFERROR(Table5[[#This Row],[Payment Limit 2017Q3]]/Table5[[#This Row],[HCPCS code dosage 2017Q3]], "")</f>
        <v>64.062160000000006</v>
      </c>
      <c r="V89" s="374" t="s">
        <v>1254</v>
      </c>
      <c r="W89" s="377">
        <v>50</v>
      </c>
      <c r="X89" s="142" t="s">
        <v>1470</v>
      </c>
      <c r="Y89" s="280">
        <v>3286.0329999999999</v>
      </c>
      <c r="Z89" s="305">
        <f>IFERROR(Table5[[#This Row],[Payment Limit 2018 Q1]]/Table5[[#This Row],[HCPCS code dosage 2018 Q1]],"")</f>
        <v>65.720659999999995</v>
      </c>
      <c r="AA89" s="374" t="s">
        <v>1254</v>
      </c>
      <c r="AB89" s="381">
        <v>50</v>
      </c>
      <c r="AC89" s="142" t="s">
        <v>1470</v>
      </c>
      <c r="AD89" s="378">
        <v>3452.33</v>
      </c>
      <c r="AE89" s="305">
        <f>IFERROR(Table5[[#This Row],[Payment Limit 2018 Q3]]/Table5[[#This Row],[HCPCS code dosage 2018 Q3]],"")</f>
        <v>69.046599999999998</v>
      </c>
      <c r="AF89" s="273" t="s">
        <v>1254</v>
      </c>
      <c r="AG89" s="122">
        <v>73.194500000000005</v>
      </c>
      <c r="AH89" s="117" t="s">
        <v>1254</v>
      </c>
      <c r="AI89" s="118">
        <v>50</v>
      </c>
      <c r="AJ89" s="118" t="s">
        <v>1470</v>
      </c>
      <c r="AK89" s="115">
        <f>IFERROR(VLOOKUP(Table5[[#This Row],[HCPCS code 2019Q3]], ASP2019Q3[], 4, FALSE), "")</f>
        <v>3897.3960000000002</v>
      </c>
      <c r="AL89" s="72">
        <f>IFERROR(Table5[[#This Row],[Payment Limit 2019Q3]]/Table5[[#This Row],[HCPCS code dosage 2019Q3]], "")</f>
        <v>77.947920000000011</v>
      </c>
      <c r="AM89" s="130" t="s">
        <v>1254</v>
      </c>
      <c r="AN89" s="130">
        <v>50</v>
      </c>
      <c r="AO89" s="130" t="s">
        <v>1470</v>
      </c>
      <c r="AP89" s="126">
        <f>IFERROR(VLOOKUP(Table5[[#This Row],[HCPCS code 2020Q1]], ASP2020Q1[], 4, FALSE), "")</f>
        <v>4119.79</v>
      </c>
      <c r="AQ89" s="77">
        <f>IFERROR(Table5[[#This Row],[Payment Limit 2020Q1]]/Table5[[#This Row],[HCPCS code dosage 2020Q1]], "")</f>
        <v>82.395799999999994</v>
      </c>
      <c r="AR89" s="133" t="s">
        <v>1254</v>
      </c>
      <c r="AS89" s="130">
        <v>50</v>
      </c>
      <c r="AT89" s="130" t="s">
        <v>1470</v>
      </c>
      <c r="AU89" s="132">
        <f>IFERROR(VLOOKUP(Table5[[#This Row],[HCPCS code 2020Q3]], ASP2020Q3[], 4, FALSE), "")</f>
        <v>4350.0209999999997</v>
      </c>
      <c r="AV89" s="72">
        <f>IFERROR(Table5[[#This Row],[Payment limit 2020Q3]]/Table5[[#This Row],[HCPCS code dosage 2020Q3]],"")</f>
        <v>87.000419999999991</v>
      </c>
      <c r="AW89" s="144" t="s">
        <v>1254</v>
      </c>
      <c r="AX89" s="118">
        <v>50</v>
      </c>
      <c r="AY89" s="144" t="s">
        <v>1470</v>
      </c>
      <c r="AZ89" s="144">
        <f>IFERROR(VLOOKUP(Table5[[#This Row],[HCPCS code 2021Q1]], ASP2021Q1[], 4, FALSE), "")</f>
        <v>4586.2139999999999</v>
      </c>
      <c r="BA89" s="122">
        <f>IFERROR(Table5[[#This Row],[Payment limit 2021Q1]]/Table5[[#This Row],[HCPCS code dosage 2021Q1]], "")</f>
        <v>91.724279999999993</v>
      </c>
      <c r="BB89" s="147" t="s">
        <v>1254</v>
      </c>
      <c r="BC89" s="118">
        <v>50</v>
      </c>
      <c r="BD89" s="144" t="s">
        <v>1470</v>
      </c>
      <c r="BE89" s="144">
        <f>IFERROR(VLOOKUP(Table5[[#This Row],[HCPCS code 2021Q3]], ASP2021Q3[], 4, FALSE), "")</f>
        <v>5166.2920000000004</v>
      </c>
      <c r="BF89" s="122">
        <f>IFERROR(Table5[[#This Row],[Payment limit 2021Q3]]/Table5[[#This Row],[HCPCS code dosage 2021Q3]], "")</f>
        <v>103.32584000000001</v>
      </c>
      <c r="BG89" s="147" t="s">
        <v>1254</v>
      </c>
      <c r="BH89" s="118">
        <v>50</v>
      </c>
      <c r="BI89" s="144" t="s">
        <v>1470</v>
      </c>
      <c r="BJ89" s="144">
        <f>IFERROR(VLOOKUP(Table5[[#This Row],[HCPCS code 2022Q1]], ASP2022Q1[], 4, FALSE), "")</f>
        <v>5166.2920000000004</v>
      </c>
      <c r="BK89" s="122">
        <f>IFERROR(Table5[[#This Row],[Payment limit 2022Q1]]/Table5[[#This Row],[HCPCS code dosage 2022Q1]], "")</f>
        <v>103.32584000000001</v>
      </c>
      <c r="BL89" s="144" t="s">
        <v>1254</v>
      </c>
      <c r="BM89" s="184">
        <v>50</v>
      </c>
      <c r="BN89" s="144" t="s">
        <v>1470</v>
      </c>
      <c r="BO89" s="144">
        <f>IFERROR(VLOOKUP(Table5[[#This Row],[HCPCS Code 2022Q3]], ASP2022Q3[], 4, FALSE), "")</f>
        <v>5166.2920000000004</v>
      </c>
      <c r="BP89" s="122">
        <f>IFERROR(Table5[[#This Row],[Payment limit 2022Q3]]/Table5[[#This Row],[HCPCS code dosage 2022Q3]], "")</f>
        <v>103.32584000000001</v>
      </c>
      <c r="BQ89" s="244" t="s">
        <v>1254</v>
      </c>
      <c r="BR89" s="118"/>
      <c r="BS89" s="144"/>
      <c r="BT89" s="144" t="s">
        <v>2365</v>
      </c>
      <c r="BU89" s="144" t="str">
        <f>IFERROR(Table5[[#This Row],[Payment limit 2023Q1]]/Table5[[#This Row],[HCPCS code dosage 2023Q1]], "")</f>
        <v/>
      </c>
      <c r="BV89" s="79"/>
    </row>
    <row r="90" spans="1:74" x14ac:dyDescent="0.3">
      <c r="A90" s="62" t="s">
        <v>170</v>
      </c>
      <c r="B90" s="286" t="s">
        <v>1244</v>
      </c>
      <c r="C90" s="286">
        <v>5</v>
      </c>
      <c r="D90" s="307" t="s">
        <v>1470</v>
      </c>
      <c r="E90" s="292">
        <f>IFERROR(VLOOKUP(Table5[[#This Row],[HCPCS code 2016 Q1]], ASP2016Q1[], 4, FALSE), "")</f>
        <v>39.054000000000002</v>
      </c>
      <c r="F90" s="303">
        <f>IFERROR(Table5[[#This Row],[Payment Limit 2016Q1]]/Table5[[#This Row],[HCPCS code dosage 2016Q1]], "")</f>
        <v>7.8108000000000004</v>
      </c>
      <c r="G90" s="286" t="s">
        <v>1244</v>
      </c>
      <c r="H90" s="286">
        <v>5</v>
      </c>
      <c r="I90" s="307" t="s">
        <v>1470</v>
      </c>
      <c r="J90" s="292">
        <f>IFERROR(VLOOKUP(Table5[[#This Row],[HCPCS code 2016 Q3]], ASP2016Q3[], 4, FALSE), "")</f>
        <v>25.966999999999999</v>
      </c>
      <c r="K90" s="303">
        <f>IFERROR(Table5[[#This Row],[Payment Limit 2016Q3]]/Table5[[#This Row],[HCPCS code dosage 2016Q3]], "")</f>
        <v>5.1933999999999996</v>
      </c>
      <c r="L90" s="286" t="s">
        <v>1244</v>
      </c>
      <c r="M90" s="286">
        <v>5</v>
      </c>
      <c r="N90" s="307" t="s">
        <v>1470</v>
      </c>
      <c r="O90" s="291">
        <f>IFERROR(VLOOKUP(Table5[[#This Row],[HCPCS code 2017 Q1]], ASP2017Q1[], 4, FALSE), "")</f>
        <v>34.371000000000002</v>
      </c>
      <c r="P90" s="302">
        <f>IFERROR(Table5[[#This Row],[Payment Limit 2017Q1]]/Table5[[#This Row],[HCPCS code dosage 2017Q1]], "")</f>
        <v>6.8742000000000001</v>
      </c>
      <c r="Q90" s="275" t="s">
        <v>1244</v>
      </c>
      <c r="R90" s="275">
        <v>5</v>
      </c>
      <c r="S90" s="275" t="s">
        <v>1470</v>
      </c>
      <c r="T90" s="279">
        <f>IFERROR(VLOOKUP(Table5[[#This Row],[HCPCS code 2017 Q3]], ASP2017Q3[], 4, FALSE), "")</f>
        <v>39.280999999999999</v>
      </c>
      <c r="U90" s="279">
        <f>IFERROR(Table5[[#This Row],[Payment Limit 2017Q3]]/Table5[[#This Row],[HCPCS code dosage 2017Q3]], "")</f>
        <v>7.8561999999999994</v>
      </c>
      <c r="V90" s="374" t="s">
        <v>1244</v>
      </c>
      <c r="W90" s="377">
        <v>5</v>
      </c>
      <c r="X90" s="142" t="s">
        <v>1470</v>
      </c>
      <c r="Y90" s="279">
        <v>43.4</v>
      </c>
      <c r="Z90" s="370">
        <f>IFERROR(Table5[[#This Row],[Payment Limit 2018 Q1]]/Table5[[#This Row],[HCPCS code dosage 2018 Q1]],"")</f>
        <v>8.68</v>
      </c>
      <c r="AA90" s="374" t="s">
        <v>1244</v>
      </c>
      <c r="AB90" s="381">
        <v>5</v>
      </c>
      <c r="AC90" s="142" t="s">
        <v>1470</v>
      </c>
      <c r="AD90" s="378">
        <v>35.445</v>
      </c>
      <c r="AE90" s="370">
        <f>IFERROR(Table5[[#This Row],[Payment Limit 2018 Q3]]/Table5[[#This Row],[HCPCS code dosage 2018 Q3]],"")</f>
        <v>7.0890000000000004</v>
      </c>
      <c r="AF90" s="275" t="s">
        <v>1244</v>
      </c>
      <c r="AG90" s="122"/>
      <c r="AH90" s="117" t="s">
        <v>1244</v>
      </c>
      <c r="AI90" s="118" t="s">
        <v>1666</v>
      </c>
      <c r="AJ90" s="118" t="s">
        <v>1470</v>
      </c>
      <c r="AK90" s="115">
        <f>IFERROR(VLOOKUP(Table5[[#This Row],[HCPCS code 2019Q3]], ASP2019Q3[], 4, FALSE), "")</f>
        <v>32.545000000000002</v>
      </c>
      <c r="AL90" s="72">
        <f>IFERROR(Table5[[#This Row],[Payment Limit 2019Q3]]/Table5[[#This Row],[HCPCS code dosage 2019Q3]], "")</f>
        <v>6.5090000000000003</v>
      </c>
      <c r="AM90" s="130" t="s">
        <v>1244</v>
      </c>
      <c r="AN90" s="130" t="s">
        <v>1666</v>
      </c>
      <c r="AO90" s="130" t="s">
        <v>1470</v>
      </c>
      <c r="AP90" s="126">
        <f>IFERROR(VLOOKUP(Table5[[#This Row],[HCPCS code 2020Q1]], ASP2020Q1[], 4, FALSE), "")</f>
        <v>36.31</v>
      </c>
      <c r="AQ90" s="77">
        <f>IFERROR(Table5[[#This Row],[Payment Limit 2020Q1]]/Table5[[#This Row],[HCPCS code dosage 2020Q1]], "")</f>
        <v>7.2620000000000005</v>
      </c>
      <c r="AR90" s="133" t="s">
        <v>1244</v>
      </c>
      <c r="AS90" s="130" t="s">
        <v>1666</v>
      </c>
      <c r="AT90" s="130" t="s">
        <v>1470</v>
      </c>
      <c r="AU90" s="132">
        <f>IFERROR(VLOOKUP(Table5[[#This Row],[HCPCS code 2020Q3]], ASP2020Q3[], 4, FALSE), "")</f>
        <v>36.445999999999998</v>
      </c>
      <c r="AV90" s="72">
        <f>IFERROR(Table5[[#This Row],[Payment limit 2020Q3]]/Table5[[#This Row],[HCPCS code dosage 2020Q3]],"")</f>
        <v>7.2891999999999992</v>
      </c>
      <c r="AW90" s="144" t="s">
        <v>1244</v>
      </c>
      <c r="AX90" s="118" t="s">
        <v>1666</v>
      </c>
      <c r="AY90" s="144" t="s">
        <v>1470</v>
      </c>
      <c r="AZ90" s="144">
        <f>IFERROR(VLOOKUP(Table5[[#This Row],[HCPCS code 2021Q1]], ASP2021Q1[], 4, FALSE), "")</f>
        <v>37.743000000000002</v>
      </c>
      <c r="BA90" s="122">
        <f>IFERROR(Table5[[#This Row],[Payment limit 2021Q1]]/Table5[[#This Row],[HCPCS code dosage 2021Q1]], "")</f>
        <v>7.5486000000000004</v>
      </c>
      <c r="BB90" s="147" t="s">
        <v>1244</v>
      </c>
      <c r="BC90" s="118" t="s">
        <v>1666</v>
      </c>
      <c r="BD90" s="144" t="s">
        <v>1470</v>
      </c>
      <c r="BE90" s="144">
        <f>IFERROR(VLOOKUP(Table5[[#This Row],[HCPCS code 2021Q3]], ASP2021Q3[], 4, FALSE), "")</f>
        <v>38.597999999999999</v>
      </c>
      <c r="BF90" s="122">
        <f>IFERROR(Table5[[#This Row],[Payment limit 2021Q3]]/Table5[[#This Row],[HCPCS code dosage 2021Q3]], "")</f>
        <v>7.7195999999999998</v>
      </c>
      <c r="BG90" s="147" t="s">
        <v>1244</v>
      </c>
      <c r="BH90" s="118" t="s">
        <v>1666</v>
      </c>
      <c r="BI90" s="144" t="s">
        <v>1470</v>
      </c>
      <c r="BJ90" s="144">
        <f>IFERROR(VLOOKUP(Table5[[#This Row],[HCPCS code 2022Q1]], ASP2022Q1[], 4, FALSE), "")</f>
        <v>37.35</v>
      </c>
      <c r="BK90" s="122">
        <f>IFERROR(Table5[[#This Row],[Payment limit 2022Q1]]/Table5[[#This Row],[HCPCS code dosage 2022Q1]], "")</f>
        <v>7.4700000000000006</v>
      </c>
      <c r="BL90" s="144" t="s">
        <v>1244</v>
      </c>
      <c r="BM90" s="184">
        <v>5</v>
      </c>
      <c r="BN90" s="144" t="s">
        <v>1470</v>
      </c>
      <c r="BO90" s="144">
        <f>IFERROR(VLOOKUP(Table5[[#This Row],[HCPCS Code 2022Q3]], ASP2022Q3[], 4, FALSE), "")</f>
        <v>41.268999999999998</v>
      </c>
      <c r="BP90" s="122">
        <f>IFERROR(Table5[[#This Row],[Payment limit 2022Q3]]/Table5[[#This Row],[HCPCS code dosage 2022Q3]], "")</f>
        <v>8.2538</v>
      </c>
      <c r="BQ90" s="144" t="s">
        <v>1244</v>
      </c>
      <c r="BR90" s="118">
        <v>5</v>
      </c>
      <c r="BS90" s="144" t="s">
        <v>1470</v>
      </c>
      <c r="BT90" s="144">
        <v>40.432000000000002</v>
      </c>
      <c r="BU90" s="144">
        <f>IFERROR(Table5[[#This Row],[Payment limit 2023Q1]]/Table5[[#This Row],[HCPCS code dosage 2023Q1]], "")</f>
        <v>8.0864000000000011</v>
      </c>
      <c r="BV90" s="79"/>
    </row>
    <row r="91" spans="1:74" x14ac:dyDescent="0.3">
      <c r="A91" s="62" t="s">
        <v>84</v>
      </c>
      <c r="B91" s="286" t="s">
        <v>1240</v>
      </c>
      <c r="C91" s="286">
        <v>1000</v>
      </c>
      <c r="D91" s="307" t="s">
        <v>1470</v>
      </c>
      <c r="E91" s="292">
        <f>IFERROR(VLOOKUP(Table5[[#This Row],[HCPCS code 2016 Q1]], ASP2016Q1[], 4, FALSE), "")</f>
        <v>30.936</v>
      </c>
      <c r="F91" s="303">
        <f>IFERROR(Table5[[#This Row],[Payment Limit 2016Q1]]/Table5[[#This Row],[HCPCS code dosage 2016Q1]], "")</f>
        <v>3.0935999999999998E-2</v>
      </c>
      <c r="G91" s="286" t="s">
        <v>1240</v>
      </c>
      <c r="H91" s="286">
        <v>1000</v>
      </c>
      <c r="I91" s="307" t="s">
        <v>1470</v>
      </c>
      <c r="J91" s="292">
        <f>IFERROR(VLOOKUP(Table5[[#This Row],[HCPCS code 2016 Q3]], ASP2016Q3[], 4, FALSE), "")</f>
        <v>29.186</v>
      </c>
      <c r="K91" s="303">
        <f>IFERROR(Table5[[#This Row],[Payment Limit 2016Q3]]/Table5[[#This Row],[HCPCS code dosage 2016Q3]], "")</f>
        <v>2.9186E-2</v>
      </c>
      <c r="L91" s="286" t="s">
        <v>1240</v>
      </c>
      <c r="M91" s="286">
        <v>1000</v>
      </c>
      <c r="N91" s="307" t="s">
        <v>1470</v>
      </c>
      <c r="O91" s="291">
        <f>IFERROR(VLOOKUP(Table5[[#This Row],[HCPCS code 2017 Q1]], ASP2017Q1[], 4, FALSE), "")</f>
        <v>28.327000000000002</v>
      </c>
      <c r="P91" s="302">
        <f>IFERROR(Table5[[#This Row],[Payment Limit 2017Q1]]/Table5[[#This Row],[HCPCS code dosage 2017Q1]], "")</f>
        <v>2.8327000000000001E-2</v>
      </c>
      <c r="Q91" s="275" t="s">
        <v>1240</v>
      </c>
      <c r="R91" s="275">
        <v>1000</v>
      </c>
      <c r="S91" s="275" t="s">
        <v>1470</v>
      </c>
      <c r="T91" s="279">
        <f>IFERROR(VLOOKUP(Table5[[#This Row],[HCPCS code 2017 Q3]], ASP2017Q3[], 4, FALSE), "")</f>
        <v>27.257000000000001</v>
      </c>
      <c r="U91" s="279">
        <f>IFERROR(Table5[[#This Row],[Payment Limit 2017Q3]]/Table5[[#This Row],[HCPCS code dosage 2017Q3]], "")</f>
        <v>2.7257E-2</v>
      </c>
      <c r="V91" s="374" t="s">
        <v>1240</v>
      </c>
      <c r="W91" s="377">
        <v>1000</v>
      </c>
      <c r="X91" s="142" t="s">
        <v>1470</v>
      </c>
      <c r="Y91" s="279">
        <v>26.466999999999999</v>
      </c>
      <c r="Z91" s="370">
        <f>IFERROR(Table5[[#This Row],[Payment Limit 2018 Q1]]/Table5[[#This Row],[HCPCS code dosage 2018 Q1]],"")</f>
        <v>2.6466999999999997E-2</v>
      </c>
      <c r="AA91" s="374" t="s">
        <v>1240</v>
      </c>
      <c r="AB91" s="381">
        <v>1000</v>
      </c>
      <c r="AC91" s="142" t="s">
        <v>1470</v>
      </c>
      <c r="AD91" s="378">
        <v>26.273</v>
      </c>
      <c r="AE91" s="370">
        <f>IFERROR(Table5[[#This Row],[Payment Limit 2018 Q3]]/Table5[[#This Row],[HCPCS code dosage 2018 Q3]],"")</f>
        <v>2.6273000000000001E-2</v>
      </c>
      <c r="AF91" s="275" t="s">
        <v>1240</v>
      </c>
      <c r="AG91" s="122">
        <v>2.5447000000000001E-2</v>
      </c>
      <c r="AH91" s="117" t="s">
        <v>1240</v>
      </c>
      <c r="AI91" s="118">
        <v>1000</v>
      </c>
      <c r="AJ91" s="118" t="s">
        <v>1470</v>
      </c>
      <c r="AK91" s="115">
        <f>IFERROR(VLOOKUP(Table5[[#This Row],[HCPCS code 2019Q3]], ASP2019Q3[], 4, FALSE), "")</f>
        <v>25.692</v>
      </c>
      <c r="AL91" s="72">
        <f>IFERROR(Table5[[#This Row],[Payment Limit 2019Q3]]/Table5[[#This Row],[HCPCS code dosage 2019Q3]], "")</f>
        <v>2.5692E-2</v>
      </c>
      <c r="AM91" s="130" t="s">
        <v>1240</v>
      </c>
      <c r="AN91" s="130">
        <v>1000</v>
      </c>
      <c r="AO91" s="130" t="s">
        <v>1470</v>
      </c>
      <c r="AP91" s="126">
        <f>IFERROR(VLOOKUP(Table5[[#This Row],[HCPCS code 2020Q1]], ASP2020Q1[], 4, FALSE), "")</f>
        <v>26.698</v>
      </c>
      <c r="AQ91" s="77">
        <f>IFERROR(Table5[[#This Row],[Payment Limit 2020Q1]]/Table5[[#This Row],[HCPCS code dosage 2020Q1]], "")</f>
        <v>2.6698E-2</v>
      </c>
      <c r="AR91" s="133" t="s">
        <v>1240</v>
      </c>
      <c r="AS91" s="130">
        <v>1000</v>
      </c>
      <c r="AT91" s="130" t="s">
        <v>1470</v>
      </c>
      <c r="AU91" s="132">
        <f>IFERROR(VLOOKUP(Table5[[#This Row],[HCPCS code 2020Q3]], ASP2020Q3[], 4, FALSE), "")</f>
        <v>26.251000000000001</v>
      </c>
      <c r="AV91" s="72">
        <f>IFERROR(Table5[[#This Row],[Payment limit 2020Q3]]/Table5[[#This Row],[HCPCS code dosage 2020Q3]],"")</f>
        <v>2.6251E-2</v>
      </c>
      <c r="AW91" s="144" t="s">
        <v>1240</v>
      </c>
      <c r="AX91" s="118">
        <v>1000</v>
      </c>
      <c r="AY91" s="144" t="s">
        <v>1470</v>
      </c>
      <c r="AZ91" s="144">
        <f>IFERROR(VLOOKUP(Table5[[#This Row],[HCPCS code 2021Q1]], ASP2021Q1[], 4, FALSE), "")</f>
        <v>26.172000000000001</v>
      </c>
      <c r="BA91" s="122">
        <f>IFERROR(Table5[[#This Row],[Payment limit 2021Q1]]/Table5[[#This Row],[HCPCS code dosage 2021Q1]], "")</f>
        <v>2.6172000000000001E-2</v>
      </c>
      <c r="BB91" s="147" t="s">
        <v>1240</v>
      </c>
      <c r="BC91" s="118">
        <v>1000</v>
      </c>
      <c r="BD91" s="144" t="s">
        <v>1470</v>
      </c>
      <c r="BE91" s="144">
        <f>IFERROR(VLOOKUP(Table5[[#This Row],[HCPCS code 2021Q3]], ASP2021Q3[], 4, FALSE), "")</f>
        <v>24.544</v>
      </c>
      <c r="BF91" s="122">
        <f>IFERROR(Table5[[#This Row],[Payment limit 2021Q3]]/Table5[[#This Row],[HCPCS code dosage 2021Q3]], "")</f>
        <v>2.4544E-2</v>
      </c>
      <c r="BG91" s="147" t="s">
        <v>1240</v>
      </c>
      <c r="BH91" s="118">
        <v>1000</v>
      </c>
      <c r="BI91" s="144" t="s">
        <v>1470</v>
      </c>
      <c r="BJ91" s="144">
        <f>IFERROR(VLOOKUP(Table5[[#This Row],[HCPCS code 2022Q1]], ASP2022Q1[], 4, FALSE), "")</f>
        <v>26.489000000000001</v>
      </c>
      <c r="BK91" s="122">
        <f>IFERROR(Table5[[#This Row],[Payment limit 2022Q1]]/Table5[[#This Row],[HCPCS code dosage 2022Q1]], "")</f>
        <v>2.6489000000000002E-2</v>
      </c>
      <c r="BL91" s="144" t="s">
        <v>1240</v>
      </c>
      <c r="BM91" s="184">
        <v>1000</v>
      </c>
      <c r="BN91" s="144" t="s">
        <v>1470</v>
      </c>
      <c r="BO91" s="144">
        <f>IFERROR(VLOOKUP(Table5[[#This Row],[HCPCS Code 2022Q3]], ASP2022Q3[], 4, FALSE), "")</f>
        <v>26.012</v>
      </c>
      <c r="BP91" s="122">
        <f>IFERROR(Table5[[#This Row],[Payment limit 2022Q3]]/Table5[[#This Row],[HCPCS code dosage 2022Q3]], "")</f>
        <v>2.6012E-2</v>
      </c>
      <c r="BQ91" s="144" t="s">
        <v>1240</v>
      </c>
      <c r="BR91" s="118">
        <v>1</v>
      </c>
      <c r="BS91" s="144" t="s">
        <v>2368</v>
      </c>
      <c r="BT91" s="144">
        <v>25.654</v>
      </c>
      <c r="BU91" s="144">
        <f>IFERROR(Table5[[#This Row],[Payment limit 2023Q1]]/Table5[[#This Row],[HCPCS code dosage 2023Q1]], "")</f>
        <v>25.654</v>
      </c>
      <c r="BV91" s="79"/>
    </row>
    <row r="92" spans="1:74" x14ac:dyDescent="0.3">
      <c r="A92" s="62" t="s">
        <v>76</v>
      </c>
      <c r="B92" s="286" t="s">
        <v>1246</v>
      </c>
      <c r="C92" s="286">
        <v>1000000</v>
      </c>
      <c r="D92" s="307" t="s">
        <v>1542</v>
      </c>
      <c r="E92" s="292">
        <f>IFERROR(VLOOKUP(Table5[[#This Row],[HCPCS code 2016 Q1]], ASP2016Q1[], 4, FALSE), "")</f>
        <v>23.901</v>
      </c>
      <c r="F92" s="303">
        <f>IFERROR(Table5[[#This Row],[Payment Limit 2016Q1]]/Table5[[#This Row],[HCPCS code dosage 2016Q1]], "")</f>
        <v>2.3901E-5</v>
      </c>
      <c r="G92" s="286" t="s">
        <v>1246</v>
      </c>
      <c r="H92" s="286">
        <v>1000000</v>
      </c>
      <c r="I92" s="307" t="s">
        <v>1542</v>
      </c>
      <c r="J92" s="292">
        <f>IFERROR(VLOOKUP(Table5[[#This Row],[HCPCS code 2016 Q3]], ASP2016Q3[], 4, FALSE), "")</f>
        <v>25.265999999999998</v>
      </c>
      <c r="K92" s="303">
        <f>IFERROR(Table5[[#This Row],[Payment Limit 2016Q3]]/Table5[[#This Row],[HCPCS code dosage 2016Q3]], "")</f>
        <v>2.5265999999999998E-5</v>
      </c>
      <c r="L92" s="286" t="s">
        <v>1246</v>
      </c>
      <c r="M92" s="286">
        <v>1000000</v>
      </c>
      <c r="N92" s="307" t="s">
        <v>1542</v>
      </c>
      <c r="O92" s="291">
        <f>IFERROR(VLOOKUP(Table5[[#This Row],[HCPCS code 2017 Q1]], ASP2017Q1[], 4, FALSE), "")</f>
        <v>26.728000000000002</v>
      </c>
      <c r="P92" s="302">
        <f>IFERROR(Table5[[#This Row],[Payment Limit 2017Q1]]/Table5[[#This Row],[HCPCS code dosage 2017Q1]], "")</f>
        <v>2.6728000000000002E-5</v>
      </c>
      <c r="Q92" s="275" t="s">
        <v>1246</v>
      </c>
      <c r="R92" s="275">
        <v>1000000</v>
      </c>
      <c r="S92" s="275" t="s">
        <v>1542</v>
      </c>
      <c r="T92" s="279">
        <f>IFERROR(VLOOKUP(Table5[[#This Row],[HCPCS code 2017 Q3]], ASP2017Q3[], 4, FALSE), "")</f>
        <v>28.436</v>
      </c>
      <c r="U92" s="279">
        <f>IFERROR(Table5[[#This Row],[Payment Limit 2017Q3]]/Table5[[#This Row],[HCPCS code dosage 2017Q3]], "")</f>
        <v>2.8436E-5</v>
      </c>
      <c r="V92" s="374" t="s">
        <v>1246</v>
      </c>
      <c r="W92" s="377">
        <v>1000000</v>
      </c>
      <c r="X92" s="142" t="s">
        <v>1542</v>
      </c>
      <c r="Y92" s="279">
        <v>31.486000000000001</v>
      </c>
      <c r="Z92" s="370">
        <f>IFERROR(Table5[[#This Row],[Payment Limit 2018 Q1]]/Table5[[#This Row],[HCPCS code dosage 2018 Q1]],"")</f>
        <v>3.1486000000000003E-5</v>
      </c>
      <c r="AA92" s="374" t="s">
        <v>1246</v>
      </c>
      <c r="AB92" s="381">
        <v>1000000</v>
      </c>
      <c r="AC92" s="142" t="s">
        <v>1542</v>
      </c>
      <c r="AD92" s="378">
        <v>34.380000000000003</v>
      </c>
      <c r="AE92" s="370">
        <f>IFERROR(Table5[[#This Row],[Payment Limit 2018 Q3]]/Table5[[#This Row],[HCPCS code dosage 2018 Q3]],"")</f>
        <v>3.4379999999999999E-5</v>
      </c>
      <c r="AF92" s="275" t="s">
        <v>1246</v>
      </c>
      <c r="AG92" s="122">
        <v>3.4031999999999995E-5</v>
      </c>
      <c r="AH92" s="117" t="s">
        <v>1246</v>
      </c>
      <c r="AI92" s="118">
        <v>1000000</v>
      </c>
      <c r="AJ92" s="118" t="s">
        <v>1542</v>
      </c>
      <c r="AK92" s="115">
        <f>IFERROR(VLOOKUP(Table5[[#This Row],[HCPCS code 2019Q3]], ASP2019Q3[], 4, FALSE), "")</f>
        <v>33.99</v>
      </c>
      <c r="AL92" s="72">
        <f>IFERROR(Table5[[#This Row],[Payment Limit 2019Q3]]/Table5[[#This Row],[HCPCS code dosage 2019Q3]], "")</f>
        <v>3.3990000000000005E-5</v>
      </c>
      <c r="AM92" s="130" t="s">
        <v>1246</v>
      </c>
      <c r="AN92" s="130">
        <v>1000000</v>
      </c>
      <c r="AO92" s="130" t="s">
        <v>1542</v>
      </c>
      <c r="AP92" s="126">
        <f>IFERROR(VLOOKUP(Table5[[#This Row],[HCPCS code 2020Q1]], ASP2020Q1[], 4, FALSE), "")</f>
        <v>34.209000000000003</v>
      </c>
      <c r="AQ92" s="77">
        <f>IFERROR(Table5[[#This Row],[Payment Limit 2020Q1]]/Table5[[#This Row],[HCPCS code dosage 2020Q1]], "")</f>
        <v>3.4209000000000004E-5</v>
      </c>
      <c r="AR92" s="133" t="s">
        <v>1246</v>
      </c>
      <c r="AS92" s="130">
        <v>1000000</v>
      </c>
      <c r="AT92" s="130" t="s">
        <v>1542</v>
      </c>
      <c r="AU92" s="132">
        <f>IFERROR(VLOOKUP(Table5[[#This Row],[HCPCS code 2020Q3]], ASP2020Q3[], 4, FALSE), "")</f>
        <v>34.448</v>
      </c>
      <c r="AV92" s="72">
        <f>IFERROR(Table5[[#This Row],[Payment limit 2020Q3]]/Table5[[#This Row],[HCPCS code dosage 2020Q3]],"")</f>
        <v>3.4448E-5</v>
      </c>
      <c r="AW92" s="144" t="s">
        <v>1246</v>
      </c>
      <c r="AX92" s="118">
        <v>1000000</v>
      </c>
      <c r="AY92" s="144" t="s">
        <v>1542</v>
      </c>
      <c r="AZ92" s="144">
        <f>IFERROR(VLOOKUP(Table5[[#This Row],[HCPCS code 2021Q1]], ASP2021Q1[], 4, FALSE), "")</f>
        <v>33.99</v>
      </c>
      <c r="BA92" s="122">
        <f>IFERROR(Table5[[#This Row],[Payment limit 2021Q1]]/Table5[[#This Row],[HCPCS code dosage 2021Q1]], "")</f>
        <v>3.3990000000000005E-5</v>
      </c>
      <c r="BB92" s="147" t="s">
        <v>1246</v>
      </c>
      <c r="BC92" s="118">
        <v>1000000</v>
      </c>
      <c r="BD92" s="144" t="s">
        <v>1542</v>
      </c>
      <c r="BE92" s="144">
        <f>IFERROR(VLOOKUP(Table5[[#This Row],[HCPCS code 2021Q3]], ASP2021Q3[], 4, FALSE), "")</f>
        <v>33.76</v>
      </c>
      <c r="BF92" s="122">
        <f>IFERROR(Table5[[#This Row],[Payment limit 2021Q3]]/Table5[[#This Row],[HCPCS code dosage 2021Q3]], "")</f>
        <v>3.3759999999999995E-5</v>
      </c>
      <c r="BG92" s="147" t="s">
        <v>1246</v>
      </c>
      <c r="BH92" s="118">
        <v>1000000</v>
      </c>
      <c r="BI92" s="144" t="s">
        <v>1542</v>
      </c>
      <c r="BJ92" s="144">
        <f>IFERROR(VLOOKUP(Table5[[#This Row],[HCPCS code 2022Q1]], ASP2022Q1[], 4, FALSE), "")</f>
        <v>32.737000000000002</v>
      </c>
      <c r="BK92" s="122">
        <f>IFERROR(Table5[[#This Row],[Payment limit 2022Q1]]/Table5[[#This Row],[HCPCS code dosage 2022Q1]], "")</f>
        <v>3.2737000000000002E-5</v>
      </c>
      <c r="BL92" s="144" t="s">
        <v>1246</v>
      </c>
      <c r="BM92" s="184">
        <v>1000000</v>
      </c>
      <c r="BN92" s="144" t="s">
        <v>1542</v>
      </c>
      <c r="BO92" s="144">
        <f>IFERROR(VLOOKUP(Table5[[#This Row],[HCPCS Code 2022Q3]], ASP2022Q3[], 4, FALSE), "")</f>
        <v>31.846</v>
      </c>
      <c r="BP92" s="122">
        <f>IFERROR(Table5[[#This Row],[Payment limit 2022Q3]]/Table5[[#This Row],[HCPCS code dosage 2022Q3]], "")</f>
        <v>3.1846E-5</v>
      </c>
      <c r="BQ92" s="144" t="s">
        <v>1246</v>
      </c>
      <c r="BR92" s="118">
        <v>1000000</v>
      </c>
      <c r="BS92" s="144" t="s">
        <v>1542</v>
      </c>
      <c r="BT92" s="144">
        <v>32.573999999999998</v>
      </c>
      <c r="BU92" s="144">
        <f>IFERROR(Table5[[#This Row],[Payment limit 2023Q1]]/Table5[[#This Row],[HCPCS code dosage 2023Q1]], "")</f>
        <v>3.2573999999999997E-5</v>
      </c>
      <c r="BV92" s="79"/>
    </row>
    <row r="93" spans="1:74" x14ac:dyDescent="0.3">
      <c r="A93" s="69" t="s">
        <v>2686</v>
      </c>
      <c r="B93" s="286" t="s">
        <v>1246</v>
      </c>
      <c r="C93" s="286">
        <v>1000000</v>
      </c>
      <c r="D93" s="307" t="s">
        <v>1542</v>
      </c>
      <c r="E93" s="280">
        <f>IFERROR(VLOOKUP(Table5[[#This Row],[HCPCS code 2016 Q1]], ASP2016Q1[], 4, FALSE), "")</f>
        <v>23.901</v>
      </c>
      <c r="F93" s="305">
        <f>IFERROR(Table5[[#This Row],[Payment Limit 2016Q1]]/Table5[[#This Row],[HCPCS code dosage 2016Q1]], "")</f>
        <v>2.3901E-5</v>
      </c>
      <c r="G93" s="286" t="s">
        <v>1246</v>
      </c>
      <c r="H93" s="286">
        <v>1000000</v>
      </c>
      <c r="I93" s="307" t="s">
        <v>1542</v>
      </c>
      <c r="J93" s="280">
        <f>IFERROR(VLOOKUP(Table5[[#This Row],[HCPCS code 2016 Q3]], ASP2016Q3[], 4, FALSE), "")</f>
        <v>25.265999999999998</v>
      </c>
      <c r="K93" s="305">
        <f>IFERROR(Table5[[#This Row],[Payment Limit 2016Q3]]/Table5[[#This Row],[HCPCS code dosage 2016Q3]], "")</f>
        <v>2.5265999999999998E-5</v>
      </c>
      <c r="L93" s="273" t="s">
        <v>1246</v>
      </c>
      <c r="M93" s="273">
        <v>1000000</v>
      </c>
      <c r="N93" s="275" t="s">
        <v>1542</v>
      </c>
      <c r="O93" s="280">
        <f>IFERROR(VLOOKUP(Table5[[#This Row],[HCPCS code 2017 Q1]], ASP2017Q1[], 4, FALSE), "")</f>
        <v>26.728000000000002</v>
      </c>
      <c r="P93" s="305">
        <f>IFERROR(Table5[[#This Row],[Payment Limit 2017Q1]]/Table5[[#This Row],[HCPCS code dosage 2017Q1]], "")</f>
        <v>2.6728000000000002E-5</v>
      </c>
      <c r="Q93" s="142" t="s">
        <v>1246</v>
      </c>
      <c r="R93" s="416">
        <v>1000000</v>
      </c>
      <c r="S93" s="416" t="s">
        <v>1542</v>
      </c>
      <c r="T93" s="280">
        <f>IFERROR(VLOOKUP(Table5[[#This Row],[HCPCS code 2017 Q3]], ASP2017Q3[], 4, FALSE), "")</f>
        <v>28.436</v>
      </c>
      <c r="U93" s="280">
        <f>IFERROR(Table5[[#This Row],[Payment Limit 2017Q3]]/Table5[[#This Row],[HCPCS code dosage 2017Q3]], "")</f>
        <v>2.8436E-5</v>
      </c>
      <c r="V93" s="374" t="s">
        <v>1246</v>
      </c>
      <c r="W93" s="377">
        <v>1000000</v>
      </c>
      <c r="X93" s="142" t="s">
        <v>1542</v>
      </c>
      <c r="Y93" s="279">
        <v>31.486000000000001</v>
      </c>
      <c r="Z93" s="370">
        <f>IFERROR(Table5[[#This Row],[Payment Limit 2018 Q1]]/Table5[[#This Row],[HCPCS code dosage 2018 Q1]],"")</f>
        <v>3.1486000000000003E-5</v>
      </c>
      <c r="AA93" s="374"/>
      <c r="AB93" s="381"/>
      <c r="AC93" s="142"/>
      <c r="AD93" s="378"/>
      <c r="AE93" s="305"/>
      <c r="AF93" s="416"/>
      <c r="AG93" s="122"/>
      <c r="AH93" s="117"/>
      <c r="AI93" s="118"/>
      <c r="AJ93" s="118"/>
      <c r="AK93" s="132" t="str">
        <f>IFERROR(VLOOKUP(Table5[[#This Row],[HCPCS code 2019Q3]], ASP2019Q3[], 4, FALSE), "")</f>
        <v/>
      </c>
      <c r="AL93" s="72" t="str">
        <f>IFERROR(Table5[[#This Row],[Payment Limit 2019Q3]]/Table5[[#This Row],[HCPCS code dosage 2019Q3]], "")</f>
        <v/>
      </c>
      <c r="AM93" s="130"/>
      <c r="AN93" s="130"/>
      <c r="AO93" s="130"/>
      <c r="AP93" s="126" t="str">
        <f>IFERROR(VLOOKUP(Table5[[#This Row],[HCPCS code 2020Q1]], ASP2020Q1[], 4, FALSE), "")</f>
        <v/>
      </c>
      <c r="AQ93" s="77" t="str">
        <f>IFERROR(Table5[[#This Row],[Payment Limit 2020Q1]]/Table5[[#This Row],[HCPCS code dosage 2020Q1]], "")</f>
        <v/>
      </c>
      <c r="AR93" s="133"/>
      <c r="AS93" s="130"/>
      <c r="AT93" s="130"/>
      <c r="AU93" s="132" t="str">
        <f>IFERROR(VLOOKUP(Table5[[#This Row],[HCPCS code 2020Q3]], ASP2020Q3[], 4, FALSE), "")</f>
        <v/>
      </c>
      <c r="AV93" s="72" t="str">
        <f>IFERROR(Table5[[#This Row],[Payment limit 2020Q3]]/Table5[[#This Row],[HCPCS code dosage 2020Q3]],"")</f>
        <v/>
      </c>
      <c r="AW93" s="144"/>
      <c r="AX93" s="118"/>
      <c r="AY93" s="144"/>
      <c r="AZ93" s="144" t="str">
        <f>IFERROR(VLOOKUP(Table5[[#This Row],[HCPCS code 2021Q1]], ASP2021Q1[], 4, FALSE), "")</f>
        <v/>
      </c>
      <c r="BA93" s="122" t="str">
        <f>IFERROR(Table5[[#This Row],[Payment limit 2021Q1]]/Table5[[#This Row],[HCPCS code dosage 2021Q1]], "")</f>
        <v/>
      </c>
      <c r="BB93" s="147"/>
      <c r="BC93" s="118"/>
      <c r="BD93" s="144"/>
      <c r="BE93" s="144" t="str">
        <f>IFERROR(VLOOKUP(Table5[[#This Row],[HCPCS code 2021Q3]], ASP2021Q3[], 4, FALSE), "")</f>
        <v/>
      </c>
      <c r="BF93" s="122" t="str">
        <f>IFERROR(Table5[[#This Row],[Payment limit 2021Q3]]/Table5[[#This Row],[HCPCS code dosage 2021Q3]], "")</f>
        <v/>
      </c>
      <c r="BG93" s="147"/>
      <c r="BH93" s="118"/>
      <c r="BI93" s="144"/>
      <c r="BJ93" s="144" t="str">
        <f>IFERROR(VLOOKUP(Table5[[#This Row],[HCPCS code 2022Q1]], ASP2022Q1[], 4, FALSE), "")</f>
        <v/>
      </c>
      <c r="BK93" s="122" t="str">
        <f>IFERROR(Table5[[#This Row],[Payment limit 2022Q1]]/Table5[[#This Row],[HCPCS code dosage 2022Q1]], "")</f>
        <v/>
      </c>
      <c r="BL93" s="144"/>
      <c r="BM93" s="184"/>
      <c r="BN93" s="144"/>
      <c r="BO93" s="144" t="str">
        <f>IFERROR(VLOOKUP(Table5[[#This Row],[HCPCS Code 2022Q3]], ASP2022Q3[], 4, FALSE), "")</f>
        <v/>
      </c>
      <c r="BP93" s="122" t="str">
        <f>IFERROR(Table5[[#This Row],[Payment limit 2022Q3]]/Table5[[#This Row],[HCPCS code dosage 2022Q3]], "")</f>
        <v/>
      </c>
      <c r="BQ93" s="144"/>
      <c r="BR93" s="521"/>
      <c r="BS93" s="144"/>
      <c r="BT93" s="144"/>
      <c r="BU93" s="144" t="str">
        <f>IFERROR(Table5[[#This Row],[Payment limit 2023Q1]]/Table5[[#This Row],[HCPCS code dosage 2023Q1]], "")</f>
        <v/>
      </c>
      <c r="BV93" s="79"/>
    </row>
    <row r="94" spans="1:74" x14ac:dyDescent="0.3">
      <c r="A94" s="62" t="s">
        <v>135</v>
      </c>
      <c r="B94" s="286" t="s">
        <v>1246</v>
      </c>
      <c r="C94" s="286">
        <v>1000000</v>
      </c>
      <c r="D94" s="307" t="s">
        <v>1542</v>
      </c>
      <c r="E94" s="292">
        <f>IFERROR(VLOOKUP(Table5[[#This Row],[HCPCS code 2016 Q1]], ASP2016Q1[], 4, FALSE), "")</f>
        <v>23.901</v>
      </c>
      <c r="F94" s="303">
        <f>IFERROR(Table5[[#This Row],[Payment Limit 2016Q1]]/Table5[[#This Row],[HCPCS code dosage 2016Q1]], "")</f>
        <v>2.3901E-5</v>
      </c>
      <c r="G94" s="286" t="s">
        <v>1246</v>
      </c>
      <c r="H94" s="286">
        <v>1000000</v>
      </c>
      <c r="I94" s="307" t="s">
        <v>1542</v>
      </c>
      <c r="J94" s="292">
        <f>IFERROR(VLOOKUP(Table5[[#This Row],[HCPCS code 2016 Q3]], ASP2016Q3[], 4, FALSE), "")</f>
        <v>25.265999999999998</v>
      </c>
      <c r="K94" s="303">
        <f>IFERROR(Table5[[#This Row],[Payment Limit 2016Q3]]/Table5[[#This Row],[HCPCS code dosage 2016Q3]], "")</f>
        <v>2.5265999999999998E-5</v>
      </c>
      <c r="L94" s="286" t="s">
        <v>1246</v>
      </c>
      <c r="M94" s="286">
        <v>1000000</v>
      </c>
      <c r="N94" s="307" t="s">
        <v>1542</v>
      </c>
      <c r="O94" s="291">
        <f>IFERROR(VLOOKUP(Table5[[#This Row],[HCPCS code 2017 Q1]], ASP2017Q1[], 4, FALSE), "")</f>
        <v>26.728000000000002</v>
      </c>
      <c r="P94" s="302">
        <f>IFERROR(Table5[[#This Row],[Payment Limit 2017Q1]]/Table5[[#This Row],[HCPCS code dosage 2017Q1]], "")</f>
        <v>2.6728000000000002E-5</v>
      </c>
      <c r="Q94" s="275" t="s">
        <v>1246</v>
      </c>
      <c r="R94" s="118">
        <v>1000000</v>
      </c>
      <c r="S94" s="275" t="s">
        <v>1542</v>
      </c>
      <c r="T94" s="279">
        <f>IFERROR(VLOOKUP(Table5[[#This Row],[HCPCS code 2017 Q3]], ASP2017Q3[], 4, FALSE), "")</f>
        <v>28.436</v>
      </c>
      <c r="U94" s="279">
        <f>IFERROR(Table5[[#This Row],[Payment Limit 2017Q3]]/Table5[[#This Row],[HCPCS code dosage 2017Q3]], "")</f>
        <v>2.8436E-5</v>
      </c>
      <c r="V94" s="374" t="s">
        <v>1246</v>
      </c>
      <c r="W94" s="377">
        <v>1000000</v>
      </c>
      <c r="X94" s="142" t="s">
        <v>1542</v>
      </c>
      <c r="Y94" s="279">
        <v>31.486000000000001</v>
      </c>
      <c r="Z94" s="370">
        <f>IFERROR(Table5[[#This Row],[Payment Limit 2018 Q1]]/Table5[[#This Row],[HCPCS code dosage 2018 Q1]],"")</f>
        <v>3.1486000000000003E-5</v>
      </c>
      <c r="AA94" s="374" t="s">
        <v>1246</v>
      </c>
      <c r="AB94" s="381">
        <v>1000000</v>
      </c>
      <c r="AC94" s="142" t="s">
        <v>1542</v>
      </c>
      <c r="AD94" s="378">
        <v>34.380000000000003</v>
      </c>
      <c r="AE94" s="370">
        <f>IFERROR(Table5[[#This Row],[Payment Limit 2018 Q3]]/Table5[[#This Row],[HCPCS code dosage 2018 Q3]],"")</f>
        <v>3.4379999999999999E-5</v>
      </c>
      <c r="AF94" s="275" t="s">
        <v>1246</v>
      </c>
      <c r="AG94" s="122">
        <v>3.4031999999999995E-5</v>
      </c>
      <c r="AH94" s="117" t="s">
        <v>1246</v>
      </c>
      <c r="AI94" s="118">
        <v>1000000</v>
      </c>
      <c r="AJ94" s="118" t="s">
        <v>1542</v>
      </c>
      <c r="AK94" s="115">
        <f>IFERROR(VLOOKUP(Table5[[#This Row],[HCPCS code 2019Q3]], ASP2019Q3[], 4, FALSE), "")</f>
        <v>33.99</v>
      </c>
      <c r="AL94" s="72">
        <f>IFERROR(Table5[[#This Row],[Payment Limit 2019Q3]]/Table5[[#This Row],[HCPCS code dosage 2019Q3]], "")</f>
        <v>3.3990000000000005E-5</v>
      </c>
      <c r="AM94" s="130" t="s">
        <v>1246</v>
      </c>
      <c r="AN94" s="130">
        <v>1000000</v>
      </c>
      <c r="AO94" s="130" t="s">
        <v>1542</v>
      </c>
      <c r="AP94" s="126">
        <f>IFERROR(VLOOKUP(Table5[[#This Row],[HCPCS code 2020Q1]], ASP2020Q1[], 4, FALSE), "")</f>
        <v>34.209000000000003</v>
      </c>
      <c r="AQ94" s="77">
        <f>IFERROR(Table5[[#This Row],[Payment Limit 2020Q1]]/Table5[[#This Row],[HCPCS code dosage 2020Q1]], "")</f>
        <v>3.4209000000000004E-5</v>
      </c>
      <c r="AR94" s="133" t="s">
        <v>1246</v>
      </c>
      <c r="AS94" s="130">
        <v>1000000</v>
      </c>
      <c r="AT94" s="130" t="s">
        <v>1542</v>
      </c>
      <c r="AU94" s="132">
        <f>IFERROR(VLOOKUP(Table5[[#This Row],[HCPCS code 2020Q3]], ASP2020Q3[], 4, FALSE), "")</f>
        <v>34.448</v>
      </c>
      <c r="AV94" s="72">
        <f>IFERROR(Table5[[#This Row],[Payment limit 2020Q3]]/Table5[[#This Row],[HCPCS code dosage 2020Q3]],"")</f>
        <v>3.4448E-5</v>
      </c>
      <c r="AW94" s="144" t="s">
        <v>1246</v>
      </c>
      <c r="AX94" s="118">
        <v>1000000</v>
      </c>
      <c r="AY94" s="144" t="s">
        <v>1542</v>
      </c>
      <c r="AZ94" s="144">
        <f>IFERROR(VLOOKUP(Table5[[#This Row],[HCPCS code 2021Q1]], ASP2021Q1[], 4, FALSE), "")</f>
        <v>33.99</v>
      </c>
      <c r="BA94" s="122">
        <f>IFERROR(Table5[[#This Row],[Payment limit 2021Q1]]/Table5[[#This Row],[HCPCS code dosage 2021Q1]], "")</f>
        <v>3.3990000000000005E-5</v>
      </c>
      <c r="BB94" s="147" t="s">
        <v>1246</v>
      </c>
      <c r="BC94" s="118">
        <v>1000000</v>
      </c>
      <c r="BD94" s="144" t="s">
        <v>1542</v>
      </c>
      <c r="BE94" s="144">
        <f>IFERROR(VLOOKUP(Table5[[#This Row],[HCPCS code 2021Q3]], ASP2021Q3[], 4, FALSE), "")</f>
        <v>33.76</v>
      </c>
      <c r="BF94" s="122">
        <f>IFERROR(Table5[[#This Row],[Payment limit 2021Q3]]/Table5[[#This Row],[HCPCS code dosage 2021Q3]], "")</f>
        <v>3.3759999999999995E-5</v>
      </c>
      <c r="BG94" s="147" t="s">
        <v>1246</v>
      </c>
      <c r="BH94" s="118">
        <v>1000000</v>
      </c>
      <c r="BI94" s="144" t="s">
        <v>1542</v>
      </c>
      <c r="BJ94" s="144">
        <f>IFERROR(VLOOKUP(Table5[[#This Row],[HCPCS code 2022Q1]], ASP2022Q1[], 4, FALSE), "")</f>
        <v>32.737000000000002</v>
      </c>
      <c r="BK94" s="122">
        <f>IFERROR(Table5[[#This Row],[Payment limit 2022Q1]]/Table5[[#This Row],[HCPCS code dosage 2022Q1]], "")</f>
        <v>3.2737000000000002E-5</v>
      </c>
      <c r="BL94" s="144" t="s">
        <v>1246</v>
      </c>
      <c r="BM94" s="184">
        <v>1000000</v>
      </c>
      <c r="BN94" s="144" t="s">
        <v>1542</v>
      </c>
      <c r="BO94" s="144">
        <f>IFERROR(VLOOKUP(Table5[[#This Row],[HCPCS Code 2022Q3]], ASP2022Q3[], 4, FALSE), "")</f>
        <v>31.846</v>
      </c>
      <c r="BP94" s="122">
        <f>IFERROR(Table5[[#This Row],[Payment limit 2022Q3]]/Table5[[#This Row],[HCPCS code dosage 2022Q3]], "")</f>
        <v>3.1846E-5</v>
      </c>
      <c r="BQ94" s="144" t="s">
        <v>1246</v>
      </c>
      <c r="BR94" s="118">
        <v>1000000</v>
      </c>
      <c r="BS94" s="144" t="s">
        <v>1542</v>
      </c>
      <c r="BT94" s="144">
        <v>32.573999999999998</v>
      </c>
      <c r="BU94" s="144">
        <f>IFERROR(Table5[[#This Row],[Payment limit 2023Q1]]/Table5[[#This Row],[HCPCS code dosage 2023Q1]], "")</f>
        <v>3.2573999999999997E-5</v>
      </c>
      <c r="BV94" s="79"/>
    </row>
    <row r="95" spans="1:74" x14ac:dyDescent="0.3">
      <c r="A95" s="62" t="s">
        <v>79</v>
      </c>
      <c r="B95" s="286" t="s">
        <v>1258</v>
      </c>
      <c r="C95" s="286">
        <v>1</v>
      </c>
      <c r="D95" s="307" t="s">
        <v>1470</v>
      </c>
      <c r="E95" s="292">
        <f>IFERROR(VLOOKUP(Table5[[#This Row],[HCPCS code 2016 Q1]], ASP2016Q1[], 4, FALSE), "")</f>
        <v>139.25700000000001</v>
      </c>
      <c r="F95" s="303">
        <f>IFERROR(Table5[[#This Row],[Payment Limit 2016Q1]]/Table5[[#This Row],[HCPCS code dosage 2016Q1]], "")</f>
        <v>139.25700000000001</v>
      </c>
      <c r="G95" s="286" t="s">
        <v>1258</v>
      </c>
      <c r="H95" s="286">
        <v>1</v>
      </c>
      <c r="I95" s="307" t="s">
        <v>1470</v>
      </c>
      <c r="J95" s="292">
        <f>IFERROR(VLOOKUP(Table5[[#This Row],[HCPCS code 2016 Q3]], ASP2016Q3[], 4, FALSE), "")</f>
        <v>140.63</v>
      </c>
      <c r="K95" s="303">
        <f>IFERROR(Table5[[#This Row],[Payment Limit 2016Q3]]/Table5[[#This Row],[HCPCS code dosage 2016Q3]], "")</f>
        <v>140.63</v>
      </c>
      <c r="L95" s="286" t="s">
        <v>1258</v>
      </c>
      <c r="M95" s="286">
        <v>1</v>
      </c>
      <c r="N95" s="307" t="s">
        <v>1470</v>
      </c>
      <c r="O95" s="291">
        <f>IFERROR(VLOOKUP(Table5[[#This Row],[HCPCS code 2017 Q1]], ASP2017Q1[], 4, FALSE), "")</f>
        <v>142.59299999999999</v>
      </c>
      <c r="P95" s="302">
        <f>IFERROR(Table5[[#This Row],[Payment Limit 2017Q1]]/Table5[[#This Row],[HCPCS code dosage 2017Q1]], "")</f>
        <v>142.59299999999999</v>
      </c>
      <c r="Q95" s="275" t="s">
        <v>1258</v>
      </c>
      <c r="R95" s="275">
        <v>1</v>
      </c>
      <c r="S95" s="275" t="s">
        <v>1470</v>
      </c>
      <c r="T95" s="279">
        <f>IFERROR(VLOOKUP(Table5[[#This Row],[HCPCS code 2017 Q3]], ASP2017Q3[], 4, FALSE), "")</f>
        <v>144.67099999999999</v>
      </c>
      <c r="U95" s="279">
        <f>IFERROR(Table5[[#This Row],[Payment Limit 2017Q3]]/Table5[[#This Row],[HCPCS code dosage 2017Q3]], "")</f>
        <v>144.67099999999999</v>
      </c>
      <c r="V95" s="374" t="s">
        <v>1258</v>
      </c>
      <c r="W95" s="377">
        <v>1</v>
      </c>
      <c r="X95" s="142" t="s">
        <v>1470</v>
      </c>
      <c r="Y95" s="279">
        <v>146.68600000000001</v>
      </c>
      <c r="Z95" s="370">
        <f>IFERROR(Table5[[#This Row],[Payment Limit 2018 Q1]]/Table5[[#This Row],[HCPCS code dosage 2018 Q1]],"")</f>
        <v>146.68600000000001</v>
      </c>
      <c r="AA95" s="374" t="s">
        <v>1258</v>
      </c>
      <c r="AB95" s="381">
        <v>1</v>
      </c>
      <c r="AC95" s="142" t="s">
        <v>1470</v>
      </c>
      <c r="AD95" s="378">
        <v>148.631</v>
      </c>
      <c r="AE95" s="370">
        <f>IFERROR(Table5[[#This Row],[Payment Limit 2018 Q3]]/Table5[[#This Row],[HCPCS code dosage 2018 Q3]],"")</f>
        <v>148.631</v>
      </c>
      <c r="AF95" s="275" t="s">
        <v>1258</v>
      </c>
      <c r="AG95" s="122">
        <v>150.90299999999999</v>
      </c>
      <c r="AH95" s="117" t="s">
        <v>1258</v>
      </c>
      <c r="AI95" s="118" t="s">
        <v>1665</v>
      </c>
      <c r="AJ95" s="118" t="s">
        <v>1470</v>
      </c>
      <c r="AK95" s="115">
        <f>IFERROR(VLOOKUP(Table5[[#This Row],[HCPCS code 2019Q3]], ASP2019Q3[], 4, FALSE), "")</f>
        <v>153.059</v>
      </c>
      <c r="AL95" s="72">
        <f>IFERROR(Table5[[#This Row],[Payment Limit 2019Q3]]/Table5[[#This Row],[HCPCS code dosage 2019Q3]], "")</f>
        <v>153.059</v>
      </c>
      <c r="AM95" s="130" t="s">
        <v>1258</v>
      </c>
      <c r="AN95" s="130" t="s">
        <v>1665</v>
      </c>
      <c r="AO95" s="130" t="s">
        <v>1470</v>
      </c>
      <c r="AP95" s="126">
        <f>IFERROR(VLOOKUP(Table5[[#This Row],[HCPCS code 2020Q1]], ASP2020Q1[], 4, FALSE), "")</f>
        <v>155.18199999999999</v>
      </c>
      <c r="AQ95" s="77">
        <f>IFERROR(Table5[[#This Row],[Payment Limit 2020Q1]]/Table5[[#This Row],[HCPCS code dosage 2020Q1]], "")</f>
        <v>155.18199999999999</v>
      </c>
      <c r="AR95" s="133" t="s">
        <v>1258</v>
      </c>
      <c r="AS95" s="130" t="s">
        <v>1665</v>
      </c>
      <c r="AT95" s="130" t="s">
        <v>1470</v>
      </c>
      <c r="AU95" s="132">
        <f>IFERROR(VLOOKUP(Table5[[#This Row],[HCPCS code 2020Q3]], ASP2020Q3[], 4, FALSE), "")</f>
        <v>157.292</v>
      </c>
      <c r="AV95" s="72">
        <f>IFERROR(Table5[[#This Row],[Payment limit 2020Q3]]/Table5[[#This Row],[HCPCS code dosage 2020Q3]],"")</f>
        <v>157.292</v>
      </c>
      <c r="AW95" s="144" t="s">
        <v>1258</v>
      </c>
      <c r="AX95" s="118" t="s">
        <v>1665</v>
      </c>
      <c r="AY95" s="144" t="s">
        <v>1470</v>
      </c>
      <c r="AZ95" s="144">
        <f>IFERROR(VLOOKUP(Table5[[#This Row],[HCPCS code 2021Q1]], ASP2021Q1[], 4, FALSE), "")</f>
        <v>157.22499999999999</v>
      </c>
      <c r="BA95" s="122">
        <f>IFERROR(Table5[[#This Row],[Payment limit 2021Q1]]/Table5[[#This Row],[HCPCS code dosage 2021Q1]], "")</f>
        <v>157.22499999999999</v>
      </c>
      <c r="BB95" s="147" t="s">
        <v>1258</v>
      </c>
      <c r="BC95" s="118" t="s">
        <v>1665</v>
      </c>
      <c r="BD95" s="144" t="s">
        <v>1470</v>
      </c>
      <c r="BE95" s="144">
        <f>IFERROR(VLOOKUP(Table5[[#This Row],[HCPCS code 2021Q3]], ASP2021Q3[], 4, FALSE), "")</f>
        <v>158.84100000000001</v>
      </c>
      <c r="BF95" s="122">
        <f>IFERROR(Table5[[#This Row],[Payment limit 2021Q3]]/Table5[[#This Row],[HCPCS code dosage 2021Q3]], "")</f>
        <v>158.84100000000001</v>
      </c>
      <c r="BG95" s="147" t="s">
        <v>1258</v>
      </c>
      <c r="BH95" s="118" t="s">
        <v>1665</v>
      </c>
      <c r="BI95" s="144" t="s">
        <v>1470</v>
      </c>
      <c r="BJ95" s="144">
        <f>IFERROR(VLOOKUP(Table5[[#This Row],[HCPCS code 2022Q1]], ASP2022Q1[], 4, FALSE), "")</f>
        <v>160.703</v>
      </c>
      <c r="BK95" s="122">
        <f>IFERROR(Table5[[#This Row],[Payment limit 2022Q1]]/Table5[[#This Row],[HCPCS code dosage 2022Q1]], "")</f>
        <v>160.703</v>
      </c>
      <c r="BL95" s="144" t="s">
        <v>1258</v>
      </c>
      <c r="BM95" s="184">
        <v>1</v>
      </c>
      <c r="BN95" s="144" t="s">
        <v>1470</v>
      </c>
      <c r="BO95" s="144">
        <f>IFERROR(VLOOKUP(Table5[[#This Row],[HCPCS Code 2022Q3]], ASP2022Q3[], 4, FALSE), "")</f>
        <v>163.65899999999999</v>
      </c>
      <c r="BP95" s="122">
        <f>IFERROR(Table5[[#This Row],[Payment limit 2022Q3]]/Table5[[#This Row],[HCPCS code dosage 2022Q3]], "")</f>
        <v>163.65899999999999</v>
      </c>
      <c r="BQ95" s="144" t="s">
        <v>1258</v>
      </c>
      <c r="BR95" s="118">
        <v>1</v>
      </c>
      <c r="BS95" s="144" t="s">
        <v>1470</v>
      </c>
      <c r="BT95" s="144">
        <v>165.76900000000001</v>
      </c>
      <c r="BU95" s="144">
        <f>IFERROR(Table5[[#This Row],[Payment limit 2023Q1]]/Table5[[#This Row],[HCPCS code dosage 2023Q1]], "")</f>
        <v>165.76900000000001</v>
      </c>
      <c r="BV95" s="79"/>
    </row>
    <row r="96" spans="1:74" x14ac:dyDescent="0.3">
      <c r="A96" s="62" t="s">
        <v>68</v>
      </c>
      <c r="B96" s="286" t="s">
        <v>1236</v>
      </c>
      <c r="C96" s="286">
        <v>20</v>
      </c>
      <c r="D96" s="307" t="s">
        <v>1470</v>
      </c>
      <c r="E96" s="292">
        <f>IFERROR(VLOOKUP(Table5[[#This Row],[HCPCS code 2016 Q1]], ASP2016Q1[], 4, FALSE), "")</f>
        <v>4.1749999999999998</v>
      </c>
      <c r="F96" s="303">
        <f>IFERROR(Table5[[#This Row],[Payment Limit 2016Q1]]/Table5[[#This Row],[HCPCS code dosage 2016Q1]], "")</f>
        <v>0.20874999999999999</v>
      </c>
      <c r="G96" s="286" t="s">
        <v>1236</v>
      </c>
      <c r="H96" s="286">
        <v>20</v>
      </c>
      <c r="I96" s="307" t="s">
        <v>1470</v>
      </c>
      <c r="J96" s="292">
        <f>IFERROR(VLOOKUP(Table5[[#This Row],[HCPCS code 2016 Q3]], ASP2016Q3[], 4, FALSE), "")</f>
        <v>4.2119999999999997</v>
      </c>
      <c r="K96" s="303">
        <f>IFERROR(Table5[[#This Row],[Payment Limit 2016Q3]]/Table5[[#This Row],[HCPCS code dosage 2016Q3]], "")</f>
        <v>0.21059999999999998</v>
      </c>
      <c r="L96" s="286" t="s">
        <v>1236</v>
      </c>
      <c r="M96" s="286">
        <v>20</v>
      </c>
      <c r="N96" s="307" t="s">
        <v>1470</v>
      </c>
      <c r="O96" s="291">
        <f>IFERROR(VLOOKUP(Table5[[#This Row],[HCPCS code 2017 Q1]], ASP2017Q1[], 4, FALSE), "")</f>
        <v>3.5489999999999999</v>
      </c>
      <c r="P96" s="302">
        <f>IFERROR(Table5[[#This Row],[Payment Limit 2017Q1]]/Table5[[#This Row],[HCPCS code dosage 2017Q1]], "")</f>
        <v>0.17745</v>
      </c>
      <c r="Q96" s="275" t="s">
        <v>1236</v>
      </c>
      <c r="R96" s="275">
        <v>20</v>
      </c>
      <c r="S96" s="275" t="s">
        <v>1470</v>
      </c>
      <c r="T96" s="279">
        <f>IFERROR(VLOOKUP(Table5[[#This Row],[HCPCS code 2017 Q3]], ASP2017Q3[], 4, FALSE), "")</f>
        <v>3.5379999999999998</v>
      </c>
      <c r="U96" s="279">
        <f>IFERROR(Table5[[#This Row],[Payment Limit 2017Q3]]/Table5[[#This Row],[HCPCS code dosage 2017Q3]], "")</f>
        <v>0.1769</v>
      </c>
      <c r="V96" s="374" t="s">
        <v>1236</v>
      </c>
      <c r="W96" s="377">
        <v>20</v>
      </c>
      <c r="X96" s="142" t="s">
        <v>1470</v>
      </c>
      <c r="Y96" s="279">
        <v>3.2450000000000001</v>
      </c>
      <c r="Z96" s="370">
        <f>IFERROR(Table5[[#This Row],[Payment Limit 2018 Q1]]/Table5[[#This Row],[HCPCS code dosage 2018 Q1]],"")</f>
        <v>0.16225000000000001</v>
      </c>
      <c r="AA96" s="374" t="s">
        <v>1236</v>
      </c>
      <c r="AB96" s="381">
        <v>20</v>
      </c>
      <c r="AC96" s="142" t="s">
        <v>1470</v>
      </c>
      <c r="AD96" s="378">
        <v>3.0649999999999999</v>
      </c>
      <c r="AE96" s="370">
        <f>IFERROR(Table5[[#This Row],[Payment Limit 2018 Q3]]/Table5[[#This Row],[HCPCS code dosage 2018 Q3]],"")</f>
        <v>0.15325</v>
      </c>
      <c r="AF96" s="275" t="s">
        <v>1236</v>
      </c>
      <c r="AG96" s="122">
        <v>0.14319999999999999</v>
      </c>
      <c r="AH96" s="117" t="s">
        <v>1236</v>
      </c>
      <c r="AI96" s="118" t="s">
        <v>1674</v>
      </c>
      <c r="AJ96" s="118" t="s">
        <v>1470</v>
      </c>
      <c r="AK96" s="115">
        <f>IFERROR(VLOOKUP(Table5[[#This Row],[HCPCS code 2019Q3]], ASP2019Q3[], 4, FALSE), "")</f>
        <v>2.7370000000000001</v>
      </c>
      <c r="AL96" s="72">
        <f>IFERROR(Table5[[#This Row],[Payment Limit 2019Q3]]/Table5[[#This Row],[HCPCS code dosage 2019Q3]], "")</f>
        <v>0.13685</v>
      </c>
      <c r="AM96" s="130" t="s">
        <v>1236</v>
      </c>
      <c r="AN96" s="130" t="s">
        <v>1674</v>
      </c>
      <c r="AO96" s="130" t="s">
        <v>1470</v>
      </c>
      <c r="AP96" s="126">
        <f>IFERROR(VLOOKUP(Table5[[#This Row],[HCPCS code 2020Q1]], ASP2020Q1[], 4, FALSE), "")</f>
        <v>2.476</v>
      </c>
      <c r="AQ96" s="77">
        <f>IFERROR(Table5[[#This Row],[Payment Limit 2020Q1]]/Table5[[#This Row],[HCPCS code dosage 2020Q1]], "")</f>
        <v>0.12379999999999999</v>
      </c>
      <c r="AR96" s="133" t="s">
        <v>1236</v>
      </c>
      <c r="AS96" s="130" t="s">
        <v>1674</v>
      </c>
      <c r="AT96" s="130" t="s">
        <v>1470</v>
      </c>
      <c r="AU96" s="132">
        <f>IFERROR(VLOOKUP(Table5[[#This Row],[HCPCS code 2020Q3]], ASP2020Q3[], 4, FALSE), "")</f>
        <v>2.754</v>
      </c>
      <c r="AV96" s="72">
        <f>IFERROR(Table5[[#This Row],[Payment limit 2020Q3]]/Table5[[#This Row],[HCPCS code dosage 2020Q3]],"")</f>
        <v>0.13769999999999999</v>
      </c>
      <c r="AW96" s="144" t="s">
        <v>1236</v>
      </c>
      <c r="AX96" s="118" t="s">
        <v>1674</v>
      </c>
      <c r="AY96" s="144" t="s">
        <v>1470</v>
      </c>
      <c r="AZ96" s="144">
        <f>IFERROR(VLOOKUP(Table5[[#This Row],[HCPCS code 2021Q1]], ASP2021Q1[], 4, FALSE), "")</f>
        <v>2.4489999999999998</v>
      </c>
      <c r="BA96" s="122">
        <f>IFERROR(Table5[[#This Row],[Payment limit 2021Q1]]/Table5[[#This Row],[HCPCS code dosage 2021Q1]], "")</f>
        <v>0.12244999999999999</v>
      </c>
      <c r="BB96" s="147" t="s">
        <v>1236</v>
      </c>
      <c r="BC96" s="118" t="s">
        <v>1674</v>
      </c>
      <c r="BD96" s="144" t="s">
        <v>1470</v>
      </c>
      <c r="BE96" s="144">
        <f>IFERROR(VLOOKUP(Table5[[#This Row],[HCPCS code 2021Q3]], ASP2021Q3[], 4, FALSE), "")</f>
        <v>2.4929999999999999</v>
      </c>
      <c r="BF96" s="122">
        <f>IFERROR(Table5[[#This Row],[Payment limit 2021Q3]]/Table5[[#This Row],[HCPCS code dosage 2021Q3]], "")</f>
        <v>0.12465</v>
      </c>
      <c r="BG96" s="147" t="s">
        <v>1236</v>
      </c>
      <c r="BH96" s="118" t="s">
        <v>1674</v>
      </c>
      <c r="BI96" s="144" t="s">
        <v>1470</v>
      </c>
      <c r="BJ96" s="144">
        <f>IFERROR(VLOOKUP(Table5[[#This Row],[HCPCS code 2022Q1]], ASP2022Q1[], 4, FALSE), "")</f>
        <v>2.4489999999999998</v>
      </c>
      <c r="BK96" s="122">
        <f>IFERROR(Table5[[#This Row],[Payment limit 2022Q1]]/Table5[[#This Row],[HCPCS code dosage 2022Q1]], "")</f>
        <v>0.12244999999999999</v>
      </c>
      <c r="BL96" s="144" t="s">
        <v>1236</v>
      </c>
      <c r="BM96" s="184">
        <v>20</v>
      </c>
      <c r="BN96" s="144" t="s">
        <v>1470</v>
      </c>
      <c r="BO96" s="144">
        <f>IFERROR(VLOOKUP(Table5[[#This Row],[HCPCS Code 2022Q3]], ASP2022Q3[], 4, FALSE), "")</f>
        <v>2.3730000000000002</v>
      </c>
      <c r="BP96" s="122">
        <f>IFERROR(Table5[[#This Row],[Payment limit 2022Q3]]/Table5[[#This Row],[HCPCS code dosage 2022Q3]], "")</f>
        <v>0.11865000000000001</v>
      </c>
      <c r="BQ96" s="144" t="s">
        <v>1236</v>
      </c>
      <c r="BR96" s="118">
        <v>20</v>
      </c>
      <c r="BS96" s="144" t="s">
        <v>1470</v>
      </c>
      <c r="BT96" s="144">
        <v>2.4279999999999999</v>
      </c>
      <c r="BU96" s="144">
        <f>IFERROR(Table5[[#This Row],[Payment limit 2023Q1]]/Table5[[#This Row],[HCPCS code dosage 2023Q1]], "")</f>
        <v>0.12139999999999999</v>
      </c>
      <c r="BV96" s="79"/>
    </row>
    <row r="97" spans="1:74" x14ac:dyDescent="0.3">
      <c r="A97" s="69" t="s">
        <v>2084</v>
      </c>
      <c r="B97" s="273"/>
      <c r="C97" s="273"/>
      <c r="D97" s="275"/>
      <c r="E97" s="280" t="str">
        <f>IFERROR(VLOOKUP(Table5[[#This Row],[HCPCS code 2016 Q1]], ASP2016Q1[], 4, FALSE), "")</f>
        <v/>
      </c>
      <c r="F97" s="305" t="str">
        <f>IFERROR(Table5[[#This Row],[Payment Limit 2016Q1]]/Table5[[#This Row],[HCPCS code dosage 2016Q1]], "")</f>
        <v/>
      </c>
      <c r="G97" s="273"/>
      <c r="H97" s="273"/>
      <c r="I97" s="275"/>
      <c r="J97" s="280" t="str">
        <f>IFERROR(VLOOKUP(Table5[[#This Row],[HCPCS code 2016 Q3]], ASP2016Q3[], 4, FALSE), "")</f>
        <v/>
      </c>
      <c r="K97" s="305" t="str">
        <f>IFERROR(Table5[[#This Row],[Payment Limit 2016Q3]]/Table5[[#This Row],[HCPCS code dosage 2016Q3]], "")</f>
        <v/>
      </c>
      <c r="L97" s="273"/>
      <c r="M97" s="273"/>
      <c r="N97" s="275"/>
      <c r="O97" s="291" t="str">
        <f>IFERROR(VLOOKUP(Table5[[#This Row],[HCPCS code 2017 Q1]], ASP2017Q1[], 4, FALSE), "")</f>
        <v/>
      </c>
      <c r="P97" s="302" t="str">
        <f>IFERROR(Table5[[#This Row],[Payment Limit 2017Q1]]/Table5[[#This Row],[HCPCS code dosage 2017Q1]], "")</f>
        <v/>
      </c>
      <c r="Q97" s="142" t="s">
        <v>1964</v>
      </c>
      <c r="R97" s="142" t="s">
        <v>2434</v>
      </c>
      <c r="S97" s="416"/>
      <c r="T97" s="280" t="str">
        <f>IFERROR(VLOOKUP(Table5[[#This Row],[HCPCS code 2017 Q3]], ASP2017Q3[], 4, FALSE), "")</f>
        <v/>
      </c>
      <c r="U97" s="280" t="str">
        <f>IFERROR(Table5[[#This Row],[Payment Limit 2017Q3]]/Table5[[#This Row],[HCPCS code dosage 2017Q3]], "")</f>
        <v/>
      </c>
      <c r="V97" s="374"/>
      <c r="W97" s="377"/>
      <c r="X97" s="142"/>
      <c r="Y97" s="280"/>
      <c r="Z97" s="305"/>
      <c r="AA97" s="374"/>
      <c r="AB97" s="381"/>
      <c r="AC97" s="142"/>
      <c r="AD97" s="378"/>
      <c r="AE97" s="305"/>
      <c r="AF97" s="416"/>
      <c r="AG97" s="122"/>
      <c r="AH97" s="117"/>
      <c r="AI97" s="118"/>
      <c r="AJ97" s="118"/>
      <c r="AK97" s="132" t="str">
        <f>IFERROR(VLOOKUP(Table5[[#This Row],[HCPCS code 2019Q3]], ASP2019Q3[], 4, FALSE), "")</f>
        <v/>
      </c>
      <c r="AL97" s="140" t="str">
        <f>IFERROR(Table5[[#This Row],[Payment Limit 2019Q3]]/Table5[[#This Row],[HCPCS code dosage 2019Q3]], "")</f>
        <v/>
      </c>
      <c r="AM97" s="130"/>
      <c r="AN97" s="130"/>
      <c r="AO97" s="130"/>
      <c r="AP97" s="126" t="str">
        <f>IFERROR(VLOOKUP(Table5[[#This Row],[HCPCS code 2020Q1]], ASP2020Q1[], 4, FALSE), "")</f>
        <v/>
      </c>
      <c r="AQ97" s="141" t="str">
        <f>IFERROR(Table5[[#This Row],[Payment Limit 2020Q1]]/Table5[[#This Row],[HCPCS code dosage 2020Q1]], "")</f>
        <v/>
      </c>
      <c r="AR97" s="133"/>
      <c r="AS97" s="130"/>
      <c r="AT97" s="130"/>
      <c r="AU97" s="132" t="str">
        <f>IFERROR(VLOOKUP(Table5[[#This Row],[HCPCS code 2020Q3]], ASP2020Q3[], 4, FALSE), "")</f>
        <v/>
      </c>
      <c r="AV97" s="140" t="str">
        <f>IFERROR(Table5[[#This Row],[Payment limit 2020Q3]]/Table5[[#This Row],[HCPCS code dosage 2020Q3]],"")</f>
        <v/>
      </c>
      <c r="AW97" s="145"/>
      <c r="AX97" s="150"/>
      <c r="AY97" s="145"/>
      <c r="AZ97" s="145" t="str">
        <f>IFERROR(VLOOKUP(Table5[[#This Row],[HCPCS code 2021Q1]], ASP2021Q1[], 4, FALSE), "")</f>
        <v/>
      </c>
      <c r="BA97" s="72" t="str">
        <f>IFERROR(Table5[[#This Row],[Payment limit 2021Q1]]/Table5[[#This Row],[HCPCS code dosage 2021Q1]], "")</f>
        <v/>
      </c>
      <c r="BB97" s="147" t="s">
        <v>1964</v>
      </c>
      <c r="BC97" s="150">
        <v>10</v>
      </c>
      <c r="BD97" s="145" t="s">
        <v>1470</v>
      </c>
      <c r="BE97" s="145">
        <f>IFERROR(VLOOKUP(Table5[[#This Row],[HCPCS code 2021Q3]], ASP2021Q3[], 4, FALSE), "")</f>
        <v>67.697999999999993</v>
      </c>
      <c r="BF97" s="72">
        <f>IFERROR(Table5[[#This Row],[Payment limit 2021Q3]]/Table5[[#This Row],[HCPCS code dosage 2021Q3]], "")</f>
        <v>6.7697999999999992</v>
      </c>
      <c r="BG97" s="147" t="s">
        <v>1964</v>
      </c>
      <c r="BH97" s="150">
        <v>10</v>
      </c>
      <c r="BI97" s="145" t="s">
        <v>1470</v>
      </c>
      <c r="BJ97" s="145">
        <f>IFERROR(VLOOKUP(Table5[[#This Row],[HCPCS code 2022Q1]], ASP2022Q1[], 4, FALSE), "")</f>
        <v>69.024000000000001</v>
      </c>
      <c r="BK97" s="72">
        <f>IFERROR(Table5[[#This Row],[Payment limit 2022Q1]]/Table5[[#This Row],[HCPCS code dosage 2022Q1]], "")</f>
        <v>6.9024000000000001</v>
      </c>
      <c r="BL97" s="144" t="s">
        <v>1964</v>
      </c>
      <c r="BM97" s="184">
        <v>10</v>
      </c>
      <c r="BN97" s="144" t="s">
        <v>1470</v>
      </c>
      <c r="BO97" s="144">
        <f>IFERROR(VLOOKUP(Table5[[#This Row],[HCPCS Code 2022Q3]], ASP2022Q3[], 4, FALSE), "")</f>
        <v>70.495999999999995</v>
      </c>
      <c r="BP97" s="122">
        <f>IFERROR(Table5[[#This Row],[Payment limit 2022Q3]]/Table5[[#This Row],[HCPCS code dosage 2022Q3]], "")</f>
        <v>7.0495999999999999</v>
      </c>
      <c r="BQ97" s="144" t="s">
        <v>1964</v>
      </c>
      <c r="BR97" s="118">
        <v>10</v>
      </c>
      <c r="BS97" s="144" t="s">
        <v>1470</v>
      </c>
      <c r="BT97" s="144">
        <v>71.947999999999993</v>
      </c>
      <c r="BU97" s="144">
        <f>IFERROR(Table5[[#This Row],[Payment limit 2023Q1]]/Table5[[#This Row],[HCPCS code dosage 2023Q1]], "")</f>
        <v>7.194799999999999</v>
      </c>
      <c r="BV97" s="79"/>
    </row>
    <row r="98" spans="1:74" x14ac:dyDescent="0.3">
      <c r="A98" s="62" t="s">
        <v>30</v>
      </c>
      <c r="B98" s="286" t="s">
        <v>1238</v>
      </c>
      <c r="C98" s="286">
        <v>1</v>
      </c>
      <c r="D98" s="307" t="s">
        <v>1470</v>
      </c>
      <c r="E98" s="292">
        <f>IFERROR(VLOOKUP(Table5[[#This Row],[HCPCS code 2016 Q1]], ASP2016Q1[], 4, FALSE), "")</f>
        <v>73.471999999999994</v>
      </c>
      <c r="F98" s="303">
        <f>IFERROR(Table5[[#This Row],[Payment Limit 2016Q1]]/Table5[[#This Row],[HCPCS code dosage 2016Q1]], "")</f>
        <v>73.471999999999994</v>
      </c>
      <c r="G98" s="286" t="s">
        <v>1238</v>
      </c>
      <c r="H98" s="286">
        <v>1</v>
      </c>
      <c r="I98" s="307" t="s">
        <v>1470</v>
      </c>
      <c r="J98" s="292">
        <f>IFERROR(VLOOKUP(Table5[[#This Row],[HCPCS code 2016 Q3]], ASP2016Q3[], 4, FALSE), "")</f>
        <v>75.149000000000001</v>
      </c>
      <c r="K98" s="303">
        <f>IFERROR(Table5[[#This Row],[Payment Limit 2016Q3]]/Table5[[#This Row],[HCPCS code dosage 2016Q3]], "")</f>
        <v>75.149000000000001</v>
      </c>
      <c r="L98" s="286" t="s">
        <v>1238</v>
      </c>
      <c r="M98" s="286">
        <v>1</v>
      </c>
      <c r="N98" s="307" t="s">
        <v>1470</v>
      </c>
      <c r="O98" s="291">
        <f>IFERROR(VLOOKUP(Table5[[#This Row],[HCPCS code 2017 Q1]], ASP2017Q1[], 4, FALSE), "")</f>
        <v>76.323999999999998</v>
      </c>
      <c r="P98" s="302">
        <f>IFERROR(Table5[[#This Row],[Payment Limit 2017Q1]]/Table5[[#This Row],[HCPCS code dosage 2017Q1]], "")</f>
        <v>76.323999999999998</v>
      </c>
      <c r="Q98" s="275" t="s">
        <v>1238</v>
      </c>
      <c r="R98" s="275">
        <v>1</v>
      </c>
      <c r="S98" s="275" t="s">
        <v>1470</v>
      </c>
      <c r="T98" s="279">
        <f>IFERROR(VLOOKUP(Table5[[#This Row],[HCPCS code 2017 Q3]], ASP2017Q3[], 4, FALSE), "")</f>
        <v>74.091999999999999</v>
      </c>
      <c r="U98" s="279">
        <f>IFERROR(Table5[[#This Row],[Payment Limit 2017Q3]]/Table5[[#This Row],[HCPCS code dosage 2017Q3]], "")</f>
        <v>74.091999999999999</v>
      </c>
      <c r="V98" s="374" t="s">
        <v>1238</v>
      </c>
      <c r="W98" s="377">
        <v>1</v>
      </c>
      <c r="X98" s="142" t="s">
        <v>1470</v>
      </c>
      <c r="Y98" s="279">
        <v>72.998000000000005</v>
      </c>
      <c r="Z98" s="370">
        <f>IFERROR(Table5[[#This Row],[Payment Limit 2018 Q1]]/Table5[[#This Row],[HCPCS code dosage 2018 Q1]],"")</f>
        <v>72.998000000000005</v>
      </c>
      <c r="AA98" s="374" t="s">
        <v>1238</v>
      </c>
      <c r="AB98" s="381">
        <v>1</v>
      </c>
      <c r="AC98" s="142" t="s">
        <v>1470</v>
      </c>
      <c r="AD98" s="378">
        <v>70.593000000000004</v>
      </c>
      <c r="AE98" s="370">
        <f>IFERROR(Table5[[#This Row],[Payment Limit 2018 Q3]]/Table5[[#This Row],[HCPCS code dosage 2018 Q3]],"")</f>
        <v>70.593000000000004</v>
      </c>
      <c r="AF98" s="275" t="s">
        <v>1238</v>
      </c>
      <c r="AG98" s="122">
        <v>76.894999999999996</v>
      </c>
      <c r="AH98" s="117" t="s">
        <v>1238</v>
      </c>
      <c r="AI98" s="118" t="s">
        <v>1665</v>
      </c>
      <c r="AJ98" s="118" t="s">
        <v>1470</v>
      </c>
      <c r="AK98" s="115">
        <f>IFERROR(VLOOKUP(Table5[[#This Row],[HCPCS code 2019Q3]], ASP2019Q3[], 4, FALSE), "")</f>
        <v>89.453999999999994</v>
      </c>
      <c r="AL98" s="72">
        <f>IFERROR(Table5[[#This Row],[Payment Limit 2019Q3]]/Table5[[#This Row],[HCPCS code dosage 2019Q3]], "")</f>
        <v>89.453999999999994</v>
      </c>
      <c r="AM98" s="130" t="s">
        <v>1238</v>
      </c>
      <c r="AN98" s="130" t="s">
        <v>1665</v>
      </c>
      <c r="AO98" s="130" t="s">
        <v>1470</v>
      </c>
      <c r="AP98" s="126">
        <f>IFERROR(VLOOKUP(Table5[[#This Row],[HCPCS code 2020Q1]], ASP2020Q1[], 4, FALSE), "")</f>
        <v>96.072999999999993</v>
      </c>
      <c r="AQ98" s="77">
        <f>IFERROR(Table5[[#This Row],[Payment Limit 2020Q1]]/Table5[[#This Row],[HCPCS code dosage 2020Q1]], "")</f>
        <v>96.072999999999993</v>
      </c>
      <c r="AR98" s="133" t="s">
        <v>1238</v>
      </c>
      <c r="AS98" s="130" t="s">
        <v>1665</v>
      </c>
      <c r="AT98" s="130" t="s">
        <v>1470</v>
      </c>
      <c r="AU98" s="132">
        <f>IFERROR(VLOOKUP(Table5[[#This Row],[HCPCS code 2020Q3]], ASP2020Q3[], 4, FALSE), "")</f>
        <v>99.85</v>
      </c>
      <c r="AV98" s="72">
        <f>IFERROR(Table5[[#This Row],[Payment limit 2020Q3]]/Table5[[#This Row],[HCPCS code dosage 2020Q3]],"")</f>
        <v>99.85</v>
      </c>
      <c r="AW98" s="144" t="s">
        <v>1238</v>
      </c>
      <c r="AX98" s="118" t="s">
        <v>1665</v>
      </c>
      <c r="AY98" s="144" t="s">
        <v>1470</v>
      </c>
      <c r="AZ98" s="144">
        <f>IFERROR(VLOOKUP(Table5[[#This Row],[HCPCS code 2021Q1]], ASP2021Q1[], 4, FALSE), "")</f>
        <v>102.119</v>
      </c>
      <c r="BA98" s="122">
        <f>IFERROR(Table5[[#This Row],[Payment limit 2021Q1]]/Table5[[#This Row],[HCPCS code dosage 2021Q1]], "")</f>
        <v>102.119</v>
      </c>
      <c r="BB98" s="147" t="s">
        <v>1238</v>
      </c>
      <c r="BC98" s="118" t="s">
        <v>1665</v>
      </c>
      <c r="BD98" s="144" t="s">
        <v>1470</v>
      </c>
      <c r="BE98" s="144">
        <f>IFERROR(VLOOKUP(Table5[[#This Row],[HCPCS code 2021Q3]], ASP2021Q3[], 4, FALSE), "")</f>
        <v>112.086</v>
      </c>
      <c r="BF98" s="122">
        <f>IFERROR(Table5[[#This Row],[Payment limit 2021Q3]]/Table5[[#This Row],[HCPCS code dosage 2021Q3]], "")</f>
        <v>112.086</v>
      </c>
      <c r="BG98" s="147" t="s">
        <v>1238</v>
      </c>
      <c r="BH98" s="118" t="s">
        <v>1665</v>
      </c>
      <c r="BI98" s="144" t="s">
        <v>1470</v>
      </c>
      <c r="BJ98" s="144">
        <f>IFERROR(VLOOKUP(Table5[[#This Row],[HCPCS code 2022Q1]], ASP2022Q1[], 4, FALSE), "")</f>
        <v>114.18600000000001</v>
      </c>
      <c r="BK98" s="122">
        <f>IFERROR(Table5[[#This Row],[Payment limit 2022Q1]]/Table5[[#This Row],[HCPCS code dosage 2022Q1]], "")</f>
        <v>114.18600000000001</v>
      </c>
      <c r="BL98" s="144" t="s">
        <v>1238</v>
      </c>
      <c r="BM98" s="184">
        <v>1</v>
      </c>
      <c r="BN98" s="144" t="s">
        <v>1470</v>
      </c>
      <c r="BO98" s="144">
        <f>IFERROR(VLOOKUP(Table5[[#This Row],[HCPCS Code 2022Q3]], ASP2022Q3[], 4, FALSE), "")</f>
        <v>117.057</v>
      </c>
      <c r="BP98" s="122">
        <f>IFERROR(Table5[[#This Row],[Payment limit 2022Q3]]/Table5[[#This Row],[HCPCS code dosage 2022Q3]], "")</f>
        <v>117.057</v>
      </c>
      <c r="BQ98" s="144" t="s">
        <v>1238</v>
      </c>
      <c r="BR98" s="118">
        <v>1</v>
      </c>
      <c r="BS98" s="144" t="s">
        <v>1470</v>
      </c>
      <c r="BT98" s="144">
        <v>118.648</v>
      </c>
      <c r="BU98" s="144">
        <f>IFERROR(Table5[[#This Row],[Payment limit 2023Q1]]/Table5[[#This Row],[HCPCS code dosage 2023Q1]], "")</f>
        <v>118.648</v>
      </c>
      <c r="BV98" s="79"/>
    </row>
    <row r="99" spans="1:74" x14ac:dyDescent="0.3">
      <c r="A99" s="62" t="s">
        <v>119</v>
      </c>
      <c r="B99" s="286" t="s">
        <v>392</v>
      </c>
      <c r="C99" s="286">
        <v>50</v>
      </c>
      <c r="D99" s="307" t="s">
        <v>1470</v>
      </c>
      <c r="E99" s="292">
        <f>IFERROR(VLOOKUP(Table5[[#This Row],[HCPCS code 2016 Q1]], ASP2016Q1[], 4, FALSE), "")</f>
        <v>3.8359999999999999</v>
      </c>
      <c r="F99" s="303">
        <f>IFERROR(Table5[[#This Row],[Payment Limit 2016Q1]]/Table5[[#This Row],[HCPCS code dosage 2016Q1]], "")</f>
        <v>7.6719999999999997E-2</v>
      </c>
      <c r="G99" s="286" t="s">
        <v>392</v>
      </c>
      <c r="H99" s="286">
        <v>50</v>
      </c>
      <c r="I99" s="307" t="s">
        <v>1470</v>
      </c>
      <c r="J99" s="292">
        <f>IFERROR(VLOOKUP(Table5[[#This Row],[HCPCS code 2016 Q3]], ASP2016Q3[], 4, FALSE), "")</f>
        <v>3.4660000000000002</v>
      </c>
      <c r="K99" s="303">
        <f>IFERROR(Table5[[#This Row],[Payment Limit 2016Q3]]/Table5[[#This Row],[HCPCS code dosage 2016Q3]], "")</f>
        <v>6.9320000000000007E-2</v>
      </c>
      <c r="L99" s="286" t="s">
        <v>392</v>
      </c>
      <c r="M99" s="286">
        <v>50</v>
      </c>
      <c r="N99" s="307" t="s">
        <v>1470</v>
      </c>
      <c r="O99" s="291">
        <f>IFERROR(VLOOKUP(Table5[[#This Row],[HCPCS code 2017 Q1]], ASP2017Q1[], 4, FALSE), "")</f>
        <v>3.0920000000000001</v>
      </c>
      <c r="P99" s="302">
        <f>IFERROR(Table5[[#This Row],[Payment Limit 2017Q1]]/Table5[[#This Row],[HCPCS code dosage 2017Q1]], "")</f>
        <v>6.1839999999999999E-2</v>
      </c>
      <c r="Q99" s="275" t="s">
        <v>392</v>
      </c>
      <c r="R99" s="275">
        <v>50</v>
      </c>
      <c r="S99" s="275" t="s">
        <v>1470</v>
      </c>
      <c r="T99" s="279">
        <f>IFERROR(VLOOKUP(Table5[[#This Row],[HCPCS code 2017 Q3]], ASP2017Q3[], 4, FALSE), "")</f>
        <v>2.871</v>
      </c>
      <c r="U99" s="279">
        <f>IFERROR(Table5[[#This Row],[Payment Limit 2017Q3]]/Table5[[#This Row],[HCPCS code dosage 2017Q3]], "")</f>
        <v>5.7419999999999999E-2</v>
      </c>
      <c r="V99" s="374" t="s">
        <v>392</v>
      </c>
      <c r="W99" s="377">
        <v>50</v>
      </c>
      <c r="X99" s="142" t="s">
        <v>1470</v>
      </c>
      <c r="Y99" s="279">
        <v>2.8180000000000001</v>
      </c>
      <c r="Z99" s="370">
        <f>IFERROR(Table5[[#This Row],[Payment Limit 2018 Q1]]/Table5[[#This Row],[HCPCS code dosage 2018 Q1]],"")</f>
        <v>5.636E-2</v>
      </c>
      <c r="AA99" s="374" t="s">
        <v>392</v>
      </c>
      <c r="AB99" s="381">
        <v>50</v>
      </c>
      <c r="AC99" s="142" t="s">
        <v>1470</v>
      </c>
      <c r="AD99" s="378">
        <v>3.133</v>
      </c>
      <c r="AE99" s="370">
        <f>IFERROR(Table5[[#This Row],[Payment Limit 2018 Q3]]/Table5[[#This Row],[HCPCS code dosage 2018 Q3]],"")</f>
        <v>6.2659999999999993E-2</v>
      </c>
      <c r="AF99" s="275" t="s">
        <v>392</v>
      </c>
      <c r="AG99" s="122">
        <v>6.6920000000000007E-2</v>
      </c>
      <c r="AH99" s="117" t="s">
        <v>392</v>
      </c>
      <c r="AI99" s="118" t="s">
        <v>1676</v>
      </c>
      <c r="AJ99" s="118" t="s">
        <v>1470</v>
      </c>
      <c r="AK99" s="115">
        <f>IFERROR(VLOOKUP(Table5[[#This Row],[HCPCS code 2019Q3]], ASP2019Q3[], 4, FALSE), "")</f>
        <v>3.0190000000000001</v>
      </c>
      <c r="AL99" s="72">
        <f>IFERROR(Table5[[#This Row],[Payment Limit 2019Q3]]/Table5[[#This Row],[HCPCS code dosage 2019Q3]], "")</f>
        <v>6.0380000000000003E-2</v>
      </c>
      <c r="AM99" s="130" t="s">
        <v>392</v>
      </c>
      <c r="AN99" s="130" t="s">
        <v>1676</v>
      </c>
      <c r="AO99" s="130" t="s">
        <v>1470</v>
      </c>
      <c r="AP99" s="126">
        <f>IFERROR(VLOOKUP(Table5[[#This Row],[HCPCS code 2020Q1]], ASP2020Q1[], 4, FALSE), "")</f>
        <v>3.3290000000000002</v>
      </c>
      <c r="AQ99" s="77">
        <f>IFERROR(Table5[[#This Row],[Payment Limit 2020Q1]]/Table5[[#This Row],[HCPCS code dosage 2020Q1]], "")</f>
        <v>6.658E-2</v>
      </c>
      <c r="AR99" s="133" t="s">
        <v>392</v>
      </c>
      <c r="AS99" s="130" t="s">
        <v>1676</v>
      </c>
      <c r="AT99" s="130" t="s">
        <v>1470</v>
      </c>
      <c r="AU99" s="132">
        <f>IFERROR(VLOOKUP(Table5[[#This Row],[HCPCS code 2020Q3]], ASP2020Q3[], 4, FALSE), "")</f>
        <v>3.1819999999999999</v>
      </c>
      <c r="AV99" s="72">
        <f>IFERROR(Table5[[#This Row],[Payment limit 2020Q3]]/Table5[[#This Row],[HCPCS code dosage 2020Q3]],"")</f>
        <v>6.3640000000000002E-2</v>
      </c>
      <c r="AW99" s="144" t="s">
        <v>392</v>
      </c>
      <c r="AX99" s="118" t="s">
        <v>1676</v>
      </c>
      <c r="AY99" s="144" t="s">
        <v>1470</v>
      </c>
      <c r="AZ99" s="144">
        <f>IFERROR(VLOOKUP(Table5[[#This Row],[HCPCS code 2021Q1]], ASP2021Q1[], 4, FALSE), "")</f>
        <v>2.7320000000000002</v>
      </c>
      <c r="BA99" s="122">
        <f>IFERROR(Table5[[#This Row],[Payment limit 2021Q1]]/Table5[[#This Row],[HCPCS code dosage 2021Q1]], "")</f>
        <v>5.4640000000000001E-2</v>
      </c>
      <c r="BB99" s="147" t="s">
        <v>392</v>
      </c>
      <c r="BC99" s="118" t="s">
        <v>1676</v>
      </c>
      <c r="BD99" s="144" t="s">
        <v>1470</v>
      </c>
      <c r="BE99" s="144">
        <f>IFERROR(VLOOKUP(Table5[[#This Row],[HCPCS code 2021Q3]], ASP2021Q3[], 4, FALSE), "")</f>
        <v>3.629</v>
      </c>
      <c r="BF99" s="122">
        <f>IFERROR(Table5[[#This Row],[Payment limit 2021Q3]]/Table5[[#This Row],[HCPCS code dosage 2021Q3]], "")</f>
        <v>7.2580000000000006E-2</v>
      </c>
      <c r="BG99" s="147" t="s">
        <v>392</v>
      </c>
      <c r="BH99" s="118" t="s">
        <v>1676</v>
      </c>
      <c r="BI99" s="144" t="s">
        <v>1470</v>
      </c>
      <c r="BJ99" s="144">
        <f>IFERROR(VLOOKUP(Table5[[#This Row],[HCPCS code 2022Q1]], ASP2022Q1[], 4, FALSE), "")</f>
        <v>4.4420000000000002</v>
      </c>
      <c r="BK99" s="122">
        <f>IFERROR(Table5[[#This Row],[Payment limit 2022Q1]]/Table5[[#This Row],[HCPCS code dosage 2022Q1]], "")</f>
        <v>8.8840000000000002E-2</v>
      </c>
      <c r="BL99" s="144" t="s">
        <v>392</v>
      </c>
      <c r="BM99" s="184">
        <v>50</v>
      </c>
      <c r="BN99" s="144" t="s">
        <v>1470</v>
      </c>
      <c r="BO99" s="144">
        <f>IFERROR(VLOOKUP(Table5[[#This Row],[HCPCS Code 2022Q3]], ASP2022Q3[], 4, FALSE), "")</f>
        <v>4.3730000000000002</v>
      </c>
      <c r="BP99" s="122">
        <f>IFERROR(Table5[[#This Row],[Payment limit 2022Q3]]/Table5[[#This Row],[HCPCS code dosage 2022Q3]], "")</f>
        <v>8.746000000000001E-2</v>
      </c>
      <c r="BQ99" s="144" t="s">
        <v>392</v>
      </c>
      <c r="BR99" s="118">
        <v>50</v>
      </c>
      <c r="BS99" s="144" t="s">
        <v>1470</v>
      </c>
      <c r="BT99" s="144">
        <v>3.6019999999999999</v>
      </c>
      <c r="BU99" s="144">
        <f>IFERROR(Table5[[#This Row],[Payment limit 2023Q1]]/Table5[[#This Row],[HCPCS code dosage 2023Q1]], "")</f>
        <v>7.2039999999999993E-2</v>
      </c>
      <c r="BV99" s="79"/>
    </row>
    <row r="100" spans="1:74" x14ac:dyDescent="0.3">
      <c r="A100" s="62" t="s">
        <v>62</v>
      </c>
      <c r="B100" s="286" t="s">
        <v>1249</v>
      </c>
      <c r="C100" s="286">
        <v>7.5</v>
      </c>
      <c r="D100" s="307" t="s">
        <v>1470</v>
      </c>
      <c r="E100" s="292">
        <f>IFERROR(VLOOKUP(Table5[[#This Row],[HCPCS code 2016 Q1]], ASP2016Q1[], 4, FALSE), "")</f>
        <v>252.58799999999999</v>
      </c>
      <c r="F100" s="303">
        <f>IFERROR(Table5[[#This Row],[Payment Limit 2016Q1]]/Table5[[#This Row],[HCPCS code dosage 2016Q1]], "")</f>
        <v>33.678399999999996</v>
      </c>
      <c r="G100" s="286" t="s">
        <v>1249</v>
      </c>
      <c r="H100" s="286">
        <v>7.5</v>
      </c>
      <c r="I100" s="307" t="s">
        <v>1470</v>
      </c>
      <c r="J100" s="292">
        <f>IFERROR(VLOOKUP(Table5[[#This Row],[HCPCS code 2016 Q3]], ASP2016Q3[], 4, FALSE), "")</f>
        <v>219.876</v>
      </c>
      <c r="K100" s="303">
        <f>IFERROR(Table5[[#This Row],[Payment Limit 2016Q3]]/Table5[[#This Row],[HCPCS code dosage 2016Q3]], "")</f>
        <v>29.316800000000001</v>
      </c>
      <c r="L100" s="286" t="s">
        <v>1249</v>
      </c>
      <c r="M100" s="286">
        <v>7.5</v>
      </c>
      <c r="N100" s="307" t="s">
        <v>1470</v>
      </c>
      <c r="O100" s="291">
        <f>IFERROR(VLOOKUP(Table5[[#This Row],[HCPCS code 2017 Q1]], ASP2017Q1[], 4, FALSE), "")</f>
        <v>220.97499999999999</v>
      </c>
      <c r="P100" s="302">
        <f>IFERROR(Table5[[#This Row],[Payment Limit 2017Q1]]/Table5[[#This Row],[HCPCS code dosage 2017Q1]], "")</f>
        <v>29.463333333333331</v>
      </c>
      <c r="Q100" s="275" t="s">
        <v>1249</v>
      </c>
      <c r="R100" s="275">
        <v>7.5</v>
      </c>
      <c r="S100" s="275" t="s">
        <v>1470</v>
      </c>
      <c r="T100" s="279">
        <f>IFERROR(VLOOKUP(Table5[[#This Row],[HCPCS code 2017 Q3]], ASP2017Q3[], 4, FALSE), "")</f>
        <v>202.119</v>
      </c>
      <c r="U100" s="279">
        <f>IFERROR(Table5[[#This Row],[Payment Limit 2017Q3]]/Table5[[#This Row],[HCPCS code dosage 2017Q3]], "")</f>
        <v>26.949200000000001</v>
      </c>
      <c r="V100" s="374" t="s">
        <v>1249</v>
      </c>
      <c r="W100" s="377">
        <v>7.5</v>
      </c>
      <c r="X100" s="142" t="s">
        <v>1470</v>
      </c>
      <c r="Y100" s="279">
        <v>211.20400000000001</v>
      </c>
      <c r="Z100" s="370">
        <f>IFERROR(Table5[[#This Row],[Payment Limit 2018 Q1]]/Table5[[#This Row],[HCPCS code dosage 2018 Q1]],"")</f>
        <v>28.160533333333333</v>
      </c>
      <c r="AA100" s="374" t="s">
        <v>1249</v>
      </c>
      <c r="AB100" s="381">
        <v>7.5</v>
      </c>
      <c r="AC100" s="142" t="s">
        <v>1470</v>
      </c>
      <c r="AD100" s="378">
        <v>218.17400000000001</v>
      </c>
      <c r="AE100" s="370">
        <f>IFERROR(Table5[[#This Row],[Payment Limit 2018 Q3]]/Table5[[#This Row],[HCPCS code dosage 2018 Q3]],"")</f>
        <v>29.089866666666669</v>
      </c>
      <c r="AF100" s="275" t="s">
        <v>1249</v>
      </c>
      <c r="AG100" s="122">
        <v>31.487199999999998</v>
      </c>
      <c r="AH100" s="117" t="s">
        <v>1249</v>
      </c>
      <c r="AI100" s="118" t="s">
        <v>1673</v>
      </c>
      <c r="AJ100" s="118" t="s">
        <v>1470</v>
      </c>
      <c r="AK100" s="115">
        <f>IFERROR(VLOOKUP(Table5[[#This Row],[HCPCS code 2019Q3]], ASP2019Q3[], 4, FALSE), "")</f>
        <v>229.518</v>
      </c>
      <c r="AL100" s="72">
        <f>IFERROR(Table5[[#This Row],[Payment Limit 2019Q3]]/Table5[[#This Row],[HCPCS code dosage 2019Q3]], "")</f>
        <v>30.602399999999999</v>
      </c>
      <c r="AM100" s="130" t="s">
        <v>1249</v>
      </c>
      <c r="AN100" s="130" t="s">
        <v>1673</v>
      </c>
      <c r="AO100" s="130" t="s">
        <v>1470</v>
      </c>
      <c r="AP100" s="126">
        <f>IFERROR(VLOOKUP(Table5[[#This Row],[HCPCS code 2020Q1]], ASP2020Q1[], 4, FALSE), "")</f>
        <v>230.07400000000001</v>
      </c>
      <c r="AQ100" s="77">
        <f>IFERROR(Table5[[#This Row],[Payment Limit 2020Q1]]/Table5[[#This Row],[HCPCS code dosage 2020Q1]], "")</f>
        <v>30.676533333333335</v>
      </c>
      <c r="AR100" s="133" t="s">
        <v>1249</v>
      </c>
      <c r="AS100" s="130" t="s">
        <v>1673</v>
      </c>
      <c r="AT100" s="130" t="s">
        <v>1470</v>
      </c>
      <c r="AU100" s="132">
        <f>IFERROR(VLOOKUP(Table5[[#This Row],[HCPCS code 2020Q3]], ASP2020Q3[], 4, FALSE), "")</f>
        <v>205.886</v>
      </c>
      <c r="AV100" s="72">
        <f>IFERROR(Table5[[#This Row],[Payment limit 2020Q3]]/Table5[[#This Row],[HCPCS code dosage 2020Q3]],"")</f>
        <v>27.451466666666665</v>
      </c>
      <c r="AW100" s="144" t="s">
        <v>1249</v>
      </c>
      <c r="AX100" s="118" t="s">
        <v>1673</v>
      </c>
      <c r="AY100" s="144" t="s">
        <v>1470</v>
      </c>
      <c r="AZ100" s="144">
        <f>IFERROR(VLOOKUP(Table5[[#This Row],[HCPCS code 2021Q1]], ASP2021Q1[], 4, FALSE), "")</f>
        <v>228.93199999999999</v>
      </c>
      <c r="BA100" s="122">
        <f>IFERROR(Table5[[#This Row],[Payment limit 2021Q1]]/Table5[[#This Row],[HCPCS code dosage 2021Q1]], "")</f>
        <v>30.524266666666666</v>
      </c>
      <c r="BB100" s="147" t="s">
        <v>1249</v>
      </c>
      <c r="BC100" s="118" t="s">
        <v>1673</v>
      </c>
      <c r="BD100" s="144" t="s">
        <v>1470</v>
      </c>
      <c r="BE100" s="144">
        <f>IFERROR(VLOOKUP(Table5[[#This Row],[HCPCS code 2021Q3]], ASP2021Q3[], 4, FALSE), "")</f>
        <v>144.464</v>
      </c>
      <c r="BF100" s="122">
        <f>IFERROR(Table5[[#This Row],[Payment limit 2021Q3]]/Table5[[#This Row],[HCPCS code dosage 2021Q3]], "")</f>
        <v>19.261866666666666</v>
      </c>
      <c r="BG100" s="147" t="s">
        <v>1249</v>
      </c>
      <c r="BH100" s="118" t="s">
        <v>1673</v>
      </c>
      <c r="BI100" s="144" t="s">
        <v>1470</v>
      </c>
      <c r="BJ100" s="144">
        <f>IFERROR(VLOOKUP(Table5[[#This Row],[HCPCS code 2022Q1]], ASP2022Q1[], 4, FALSE), "")</f>
        <v>200.733</v>
      </c>
      <c r="BK100" s="122">
        <f>IFERROR(Table5[[#This Row],[Payment limit 2022Q1]]/Table5[[#This Row],[HCPCS code dosage 2022Q1]], "")</f>
        <v>26.764400000000002</v>
      </c>
      <c r="BL100" s="144" t="s">
        <v>1249</v>
      </c>
      <c r="BM100" s="184">
        <v>7.5</v>
      </c>
      <c r="BN100" s="144" t="s">
        <v>1470</v>
      </c>
      <c r="BO100" s="144">
        <f>IFERROR(VLOOKUP(Table5[[#This Row],[HCPCS Code 2022Q3]], ASP2022Q3[], 4, FALSE), "")</f>
        <v>179.267</v>
      </c>
      <c r="BP100" s="122">
        <f>IFERROR(Table5[[#This Row],[Payment limit 2022Q3]]/Table5[[#This Row],[HCPCS code dosage 2022Q3]], "")</f>
        <v>23.902266666666666</v>
      </c>
      <c r="BQ100" s="144" t="s">
        <v>1249</v>
      </c>
      <c r="BR100" s="118">
        <v>7.5</v>
      </c>
      <c r="BS100" s="144" t="s">
        <v>1470</v>
      </c>
      <c r="BT100" s="144">
        <v>188.33099999999999</v>
      </c>
      <c r="BU100" s="144">
        <f>IFERROR(Table5[[#This Row],[Payment limit 2023Q1]]/Table5[[#This Row],[HCPCS code dosage 2023Q1]], "")</f>
        <v>25.110799999999998</v>
      </c>
      <c r="BV100" s="79"/>
    </row>
    <row r="101" spans="1:74" x14ac:dyDescent="0.3">
      <c r="A101" s="62" t="s">
        <v>114</v>
      </c>
      <c r="B101" s="286" t="s">
        <v>191</v>
      </c>
      <c r="C101" s="286">
        <v>10</v>
      </c>
      <c r="D101" s="307" t="s">
        <v>1470</v>
      </c>
      <c r="E101" s="292">
        <f>IFERROR(VLOOKUP(Table5[[#This Row],[HCPCS code 2016 Q1]], ASP2016Q1[], 4, FALSE), "")</f>
        <v>431.51799999999997</v>
      </c>
      <c r="F101" s="303">
        <f>IFERROR(Table5[[#This Row],[Payment Limit 2016Q1]]/Table5[[#This Row],[HCPCS code dosage 2016Q1]], "")</f>
        <v>43.151799999999994</v>
      </c>
      <c r="G101" s="286" t="s">
        <v>191</v>
      </c>
      <c r="H101" s="286">
        <v>10</v>
      </c>
      <c r="I101" s="307" t="s">
        <v>1470</v>
      </c>
      <c r="J101" s="292">
        <f>IFERROR(VLOOKUP(Table5[[#This Row],[HCPCS code 2016 Q3]], ASP2016Q3[], 4, FALSE), "")</f>
        <v>426.24900000000002</v>
      </c>
      <c r="K101" s="303">
        <f>IFERROR(Table5[[#This Row],[Payment Limit 2016Q3]]/Table5[[#This Row],[HCPCS code dosage 2016Q3]], "")</f>
        <v>42.624900000000004</v>
      </c>
      <c r="L101" s="286" t="s">
        <v>191</v>
      </c>
      <c r="M101" s="286">
        <v>10</v>
      </c>
      <c r="N101" s="307" t="s">
        <v>1470</v>
      </c>
      <c r="O101" s="291">
        <f>IFERROR(VLOOKUP(Table5[[#This Row],[HCPCS code 2017 Q1]], ASP2017Q1[], 4, FALSE), "")</f>
        <v>429.59500000000003</v>
      </c>
      <c r="P101" s="302">
        <f>IFERROR(Table5[[#This Row],[Payment Limit 2017Q1]]/Table5[[#This Row],[HCPCS code dosage 2017Q1]], "")</f>
        <v>42.959500000000006</v>
      </c>
      <c r="Q101" s="275" t="s">
        <v>191</v>
      </c>
      <c r="R101" s="275">
        <v>10</v>
      </c>
      <c r="S101" s="275" t="s">
        <v>1470</v>
      </c>
      <c r="T101" s="279">
        <f>IFERROR(VLOOKUP(Table5[[#This Row],[HCPCS code 2017 Q3]], ASP2017Q3[], 4, FALSE), "")</f>
        <v>383.827</v>
      </c>
      <c r="U101" s="279">
        <f>IFERROR(Table5[[#This Row],[Payment Limit 2017Q3]]/Table5[[#This Row],[HCPCS code dosage 2017Q3]], "")</f>
        <v>38.3827</v>
      </c>
      <c r="V101" s="374" t="s">
        <v>191</v>
      </c>
      <c r="W101" s="377">
        <v>10</v>
      </c>
      <c r="X101" s="142" t="s">
        <v>1470</v>
      </c>
      <c r="Y101" s="279">
        <v>385.767</v>
      </c>
      <c r="Z101" s="370">
        <f>IFERROR(Table5[[#This Row],[Payment Limit 2018 Q1]]/Table5[[#This Row],[HCPCS code dosage 2018 Q1]],"")</f>
        <v>38.576700000000002</v>
      </c>
      <c r="AA101" s="374" t="s">
        <v>191</v>
      </c>
      <c r="AB101" s="381">
        <v>10</v>
      </c>
      <c r="AC101" s="142" t="s">
        <v>1470</v>
      </c>
      <c r="AD101" s="378">
        <v>372.49200000000002</v>
      </c>
      <c r="AE101" s="370">
        <f>IFERROR(Table5[[#This Row],[Payment Limit 2018 Q3]]/Table5[[#This Row],[HCPCS code dosage 2018 Q3]],"")</f>
        <v>37.249200000000002</v>
      </c>
      <c r="AF101" s="275" t="s">
        <v>191</v>
      </c>
      <c r="AG101" s="122">
        <v>38.133400000000002</v>
      </c>
      <c r="AH101" s="117" t="s">
        <v>191</v>
      </c>
      <c r="AI101" s="118" t="s">
        <v>1664</v>
      </c>
      <c r="AJ101" s="118" t="s">
        <v>1470</v>
      </c>
      <c r="AK101" s="115">
        <f>IFERROR(VLOOKUP(Table5[[#This Row],[HCPCS code 2019Q3]], ASP2019Q3[], 4, FALSE), "")</f>
        <v>349.298</v>
      </c>
      <c r="AL101" s="72">
        <f>IFERROR(Table5[[#This Row],[Payment Limit 2019Q3]]/Table5[[#This Row],[HCPCS code dosage 2019Q3]], "")</f>
        <v>34.9298</v>
      </c>
      <c r="AM101" s="130" t="s">
        <v>191</v>
      </c>
      <c r="AN101" s="130" t="s">
        <v>1664</v>
      </c>
      <c r="AO101" s="130" t="s">
        <v>1470</v>
      </c>
      <c r="AP101" s="126">
        <f>IFERROR(VLOOKUP(Table5[[#This Row],[HCPCS code 2020Q1]], ASP2020Q1[], 4, FALSE), "")</f>
        <v>295.51799999999997</v>
      </c>
      <c r="AQ101" s="77">
        <f>IFERROR(Table5[[#This Row],[Payment Limit 2020Q1]]/Table5[[#This Row],[HCPCS code dosage 2020Q1]], "")</f>
        <v>29.551799999999997</v>
      </c>
      <c r="AR101" s="133" t="s">
        <v>191</v>
      </c>
      <c r="AS101" s="130" t="s">
        <v>1664</v>
      </c>
      <c r="AT101" s="130" t="s">
        <v>1470</v>
      </c>
      <c r="AU101" s="132">
        <f>IFERROR(VLOOKUP(Table5[[#This Row],[HCPCS code 2020Q3]], ASP2020Q3[], 4, FALSE), "")</f>
        <v>317.70299999999997</v>
      </c>
      <c r="AV101" s="72">
        <f>IFERROR(Table5[[#This Row],[Payment limit 2020Q3]]/Table5[[#This Row],[HCPCS code dosage 2020Q3]],"")</f>
        <v>31.770299999999999</v>
      </c>
      <c r="AW101" s="144" t="s">
        <v>191</v>
      </c>
      <c r="AX101" s="118" t="s">
        <v>1664</v>
      </c>
      <c r="AY101" s="144" t="s">
        <v>1470</v>
      </c>
      <c r="AZ101" s="144">
        <f>IFERROR(VLOOKUP(Table5[[#This Row],[HCPCS code 2021Q1]], ASP2021Q1[], 4, FALSE), "")</f>
        <v>298.80200000000002</v>
      </c>
      <c r="BA101" s="122">
        <f>IFERROR(Table5[[#This Row],[Payment limit 2021Q1]]/Table5[[#This Row],[HCPCS code dosage 2021Q1]], "")</f>
        <v>29.880200000000002</v>
      </c>
      <c r="BB101" s="147" t="s">
        <v>191</v>
      </c>
      <c r="BC101" s="118" t="s">
        <v>1664</v>
      </c>
      <c r="BD101" s="144" t="s">
        <v>1470</v>
      </c>
      <c r="BE101" s="144">
        <f>IFERROR(VLOOKUP(Table5[[#This Row],[HCPCS code 2021Q3]], ASP2021Q3[], 4, FALSE), "")</f>
        <v>257.08699999999999</v>
      </c>
      <c r="BF101" s="122">
        <f>IFERROR(Table5[[#This Row],[Payment limit 2021Q3]]/Table5[[#This Row],[HCPCS code dosage 2021Q3]], "")</f>
        <v>25.7087</v>
      </c>
      <c r="BG101" s="147" t="s">
        <v>191</v>
      </c>
      <c r="BH101" s="118" t="s">
        <v>1664</v>
      </c>
      <c r="BI101" s="144" t="s">
        <v>1470</v>
      </c>
      <c r="BJ101" s="144">
        <f>IFERROR(VLOOKUP(Table5[[#This Row],[HCPCS code 2022Q1]], ASP2022Q1[], 4, FALSE), "")</f>
        <v>200.51499999999999</v>
      </c>
      <c r="BK101" s="122">
        <f>IFERROR(Table5[[#This Row],[Payment limit 2022Q1]]/Table5[[#This Row],[HCPCS code dosage 2022Q1]], "")</f>
        <v>20.051499999999997</v>
      </c>
      <c r="BL101" s="144" t="s">
        <v>191</v>
      </c>
      <c r="BM101" s="184">
        <v>10</v>
      </c>
      <c r="BN101" s="144" t="s">
        <v>1470</v>
      </c>
      <c r="BO101" s="144">
        <f>IFERROR(VLOOKUP(Table5[[#This Row],[HCPCS Code 2022Q3]], ASP2022Q3[], 4, FALSE), "")</f>
        <v>129.99299999999999</v>
      </c>
      <c r="BP101" s="122">
        <f>IFERROR(Table5[[#This Row],[Payment limit 2022Q3]]/Table5[[#This Row],[HCPCS code dosage 2022Q3]], "")</f>
        <v>12.9993</v>
      </c>
      <c r="BQ101" s="144" t="s">
        <v>191</v>
      </c>
      <c r="BR101" s="118">
        <v>10</v>
      </c>
      <c r="BS101" s="144" t="s">
        <v>1470</v>
      </c>
      <c r="BT101" s="144">
        <v>102.235</v>
      </c>
      <c r="BU101" s="144">
        <f>IFERROR(Table5[[#This Row],[Payment limit 2023Q1]]/Table5[[#This Row],[HCPCS code dosage 2023Q1]], "")</f>
        <v>10.2235</v>
      </c>
      <c r="BV101" s="79"/>
    </row>
    <row r="102" spans="1:74" x14ac:dyDescent="0.3">
      <c r="A102" s="62" t="s">
        <v>176</v>
      </c>
      <c r="B102" s="286" t="s">
        <v>1234</v>
      </c>
      <c r="C102" s="286">
        <v>1</v>
      </c>
      <c r="D102" s="307" t="s">
        <v>1470</v>
      </c>
      <c r="E102" s="292" t="str">
        <f>IFERROR(VLOOKUP(Table5[[#This Row],[HCPCS code 2016 Q1]], ASP2016Q1[], 4, FALSE), "")</f>
        <v/>
      </c>
      <c r="F102" s="303" t="str">
        <f>IFERROR(Table5[[#This Row],[Payment Limit 2016Q1]]/Table5[[#This Row],[HCPCS code dosage 2016Q1]], "")</f>
        <v/>
      </c>
      <c r="G102" s="286" t="s">
        <v>1234</v>
      </c>
      <c r="H102" s="286">
        <v>1</v>
      </c>
      <c r="I102" s="307" t="s">
        <v>1470</v>
      </c>
      <c r="J102" s="292" t="str">
        <f>IFERROR(VLOOKUP(Table5[[#This Row],[HCPCS code 2016 Q3]], ASP2016Q3[], 4, FALSE), "")</f>
        <v/>
      </c>
      <c r="K102" s="303" t="str">
        <f>IFERROR(Table5[[#This Row],[Payment Limit 2016Q3]]/Table5[[#This Row],[HCPCS code dosage 2016Q3]], "")</f>
        <v/>
      </c>
      <c r="L102" s="286" t="s">
        <v>1234</v>
      </c>
      <c r="M102" s="286">
        <v>1</v>
      </c>
      <c r="N102" s="307" t="s">
        <v>1470</v>
      </c>
      <c r="O102" s="291">
        <f>IFERROR(VLOOKUP(Table5[[#This Row],[HCPCS code 2017 Q1]], ASP2017Q1[], 4, FALSE), "")</f>
        <v>39.512999999999998</v>
      </c>
      <c r="P102" s="302">
        <f>IFERROR(Table5[[#This Row],[Payment Limit 2017Q1]]/Table5[[#This Row],[HCPCS code dosage 2017Q1]], "")</f>
        <v>39.512999999999998</v>
      </c>
      <c r="Q102" s="275" t="s">
        <v>1234</v>
      </c>
      <c r="R102" s="275">
        <v>1</v>
      </c>
      <c r="S102" s="275" t="s">
        <v>1470</v>
      </c>
      <c r="T102" s="279">
        <f>IFERROR(VLOOKUP(Table5[[#This Row],[HCPCS code 2017 Q3]], ASP2017Q3[], 4, FALSE), "")</f>
        <v>40.293999999999997</v>
      </c>
      <c r="U102" s="279">
        <f>IFERROR(Table5[[#This Row],[Payment Limit 2017Q3]]/Table5[[#This Row],[HCPCS code dosage 2017Q3]], "")</f>
        <v>40.293999999999997</v>
      </c>
      <c r="V102" s="374" t="s">
        <v>1234</v>
      </c>
      <c r="W102" s="377">
        <v>1</v>
      </c>
      <c r="X102" s="142" t="s">
        <v>1470</v>
      </c>
      <c r="Y102" s="279">
        <v>42.917999999999999</v>
      </c>
      <c r="Z102" s="370">
        <f>IFERROR(Table5[[#This Row],[Payment Limit 2018 Q1]]/Table5[[#This Row],[HCPCS code dosage 2018 Q1]],"")</f>
        <v>42.917999999999999</v>
      </c>
      <c r="AA102" s="374" t="s">
        <v>1234</v>
      </c>
      <c r="AB102" s="381">
        <v>1</v>
      </c>
      <c r="AC102" s="142" t="s">
        <v>1470</v>
      </c>
      <c r="AD102" s="378">
        <v>45.631999999999998</v>
      </c>
      <c r="AE102" s="370">
        <f>IFERROR(Table5[[#This Row],[Payment Limit 2018 Q3]]/Table5[[#This Row],[HCPCS code dosage 2018 Q3]],"")</f>
        <v>45.631999999999998</v>
      </c>
      <c r="AF102" s="275" t="s">
        <v>1234</v>
      </c>
      <c r="AG102" s="122">
        <v>45.649000000000001</v>
      </c>
      <c r="AH102" s="117" t="s">
        <v>1234</v>
      </c>
      <c r="AI102" s="118" t="s">
        <v>1665</v>
      </c>
      <c r="AJ102" s="118" t="s">
        <v>1470</v>
      </c>
      <c r="AK102" s="115">
        <f>IFERROR(VLOOKUP(Table5[[#This Row],[HCPCS code 2019Q3]], ASP2019Q3[], 4, FALSE), "")</f>
        <v>49.786000000000001</v>
      </c>
      <c r="AL102" s="72">
        <f>IFERROR(Table5[[#This Row],[Payment Limit 2019Q3]]/Table5[[#This Row],[HCPCS code dosage 2019Q3]], "")</f>
        <v>49.786000000000001</v>
      </c>
      <c r="AM102" s="130" t="s">
        <v>1234</v>
      </c>
      <c r="AN102" s="130" t="s">
        <v>1665</v>
      </c>
      <c r="AO102" s="130" t="s">
        <v>1470</v>
      </c>
      <c r="AP102" s="126">
        <f>IFERROR(VLOOKUP(Table5[[#This Row],[HCPCS code 2020Q1]], ASP2020Q1[], 4, FALSE), "")</f>
        <v>49.838000000000001</v>
      </c>
      <c r="AQ102" s="77">
        <f>IFERROR(Table5[[#This Row],[Payment Limit 2020Q1]]/Table5[[#This Row],[HCPCS code dosage 2020Q1]], "")</f>
        <v>49.838000000000001</v>
      </c>
      <c r="AR102" s="133" t="s">
        <v>1234</v>
      </c>
      <c r="AS102" s="130" t="s">
        <v>1665</v>
      </c>
      <c r="AT102" s="130" t="s">
        <v>1470</v>
      </c>
      <c r="AU102" s="132">
        <f>IFERROR(VLOOKUP(Table5[[#This Row],[HCPCS code 2020Q3]], ASP2020Q3[], 4, FALSE), "")</f>
        <v>54.223999999999997</v>
      </c>
      <c r="AV102" s="72">
        <f>IFERROR(Table5[[#This Row],[Payment limit 2020Q3]]/Table5[[#This Row],[HCPCS code dosage 2020Q3]],"")</f>
        <v>54.223999999999997</v>
      </c>
      <c r="AW102" s="144" t="s">
        <v>1234</v>
      </c>
      <c r="AX102" s="118" t="s">
        <v>1665</v>
      </c>
      <c r="AY102" s="144" t="s">
        <v>1470</v>
      </c>
      <c r="AZ102" s="144">
        <f>IFERROR(VLOOKUP(Table5[[#This Row],[HCPCS code 2021Q1]], ASP2021Q1[], 4, FALSE), "")</f>
        <v>54.307000000000002</v>
      </c>
      <c r="BA102" s="122">
        <f>IFERROR(Table5[[#This Row],[Payment limit 2021Q1]]/Table5[[#This Row],[HCPCS code dosage 2021Q1]], "")</f>
        <v>54.307000000000002</v>
      </c>
      <c r="BB102" s="147" t="s">
        <v>1234</v>
      </c>
      <c r="BC102" s="118" t="s">
        <v>1665</v>
      </c>
      <c r="BD102" s="144" t="s">
        <v>1470</v>
      </c>
      <c r="BE102" s="144">
        <f>IFERROR(VLOOKUP(Table5[[#This Row],[HCPCS code 2021Q3]], ASP2021Q3[], 4, FALSE), "")</f>
        <v>56.604999999999997</v>
      </c>
      <c r="BF102" s="122">
        <f>IFERROR(Table5[[#This Row],[Payment limit 2021Q3]]/Table5[[#This Row],[HCPCS code dosage 2021Q3]], "")</f>
        <v>56.604999999999997</v>
      </c>
      <c r="BG102" s="147" t="s">
        <v>1234</v>
      </c>
      <c r="BH102" s="118" t="s">
        <v>1665</v>
      </c>
      <c r="BI102" s="144" t="s">
        <v>1470</v>
      </c>
      <c r="BJ102" s="144">
        <f>IFERROR(VLOOKUP(Table5[[#This Row],[HCPCS code 2022Q1]], ASP2022Q1[], 4, FALSE), "")</f>
        <v>57.371000000000002</v>
      </c>
      <c r="BK102" s="122">
        <f>IFERROR(Table5[[#This Row],[Payment limit 2022Q1]]/Table5[[#This Row],[HCPCS code dosage 2022Q1]], "")</f>
        <v>57.371000000000002</v>
      </c>
      <c r="BL102" s="144" t="s">
        <v>1234</v>
      </c>
      <c r="BM102" s="184">
        <v>1</v>
      </c>
      <c r="BN102" s="144" t="s">
        <v>1470</v>
      </c>
      <c r="BO102" s="144">
        <f>IFERROR(VLOOKUP(Table5[[#This Row],[HCPCS Code 2022Q3]], ASP2022Q3[], 4, FALSE), "")</f>
        <v>60.14</v>
      </c>
      <c r="BP102" s="122">
        <f>IFERROR(Table5[[#This Row],[Payment limit 2022Q3]]/Table5[[#This Row],[HCPCS code dosage 2022Q3]], "")</f>
        <v>60.14</v>
      </c>
      <c r="BQ102" s="144" t="s">
        <v>1234</v>
      </c>
      <c r="BR102" s="118">
        <v>1</v>
      </c>
      <c r="BS102" s="144" t="s">
        <v>1470</v>
      </c>
      <c r="BT102" s="144">
        <v>60.061999999999998</v>
      </c>
      <c r="BU102" s="144">
        <f>IFERROR(Table5[[#This Row],[Payment limit 2023Q1]]/Table5[[#This Row],[HCPCS code dosage 2023Q1]], "")</f>
        <v>60.061999999999998</v>
      </c>
      <c r="BV102" s="79"/>
    </row>
    <row r="103" spans="1:74" x14ac:dyDescent="0.3">
      <c r="A103" s="69" t="s">
        <v>2777</v>
      </c>
      <c r="B103" s="273"/>
      <c r="C103" s="273"/>
      <c r="D103" s="275"/>
      <c r="E103" s="280" t="str">
        <f>IFERROR(VLOOKUP(Table5[[#This Row],[HCPCS code 2016 Q1]], ASP2016Q1[], 4, FALSE), "")</f>
        <v/>
      </c>
      <c r="F103" s="305" t="str">
        <f>IFERROR(Table5[[#This Row],[Payment Limit 2016Q1]]/Table5[[#This Row],[HCPCS code dosage 2016Q1]], "")</f>
        <v/>
      </c>
      <c r="G103" s="273"/>
      <c r="H103" s="273"/>
      <c r="I103" s="275"/>
      <c r="J103" s="280" t="str">
        <f>IFERROR(VLOOKUP(Table5[[#This Row],[HCPCS code 2016 Q3]], ASP2016Q3[], 4, FALSE), "")</f>
        <v/>
      </c>
      <c r="K103" s="305" t="str">
        <f>IFERROR(Table5[[#This Row],[Payment Limit 2016Q3]]/Table5[[#This Row],[HCPCS code dosage 2016Q3]], "")</f>
        <v/>
      </c>
      <c r="L103" s="273"/>
      <c r="M103" s="273"/>
      <c r="N103" s="275"/>
      <c r="O103" s="280" t="str">
        <f>IFERROR(VLOOKUP(Table5[[#This Row],[HCPCS code 2017 Q1]], ASP2017Q1[], 4, FALSE), "")</f>
        <v/>
      </c>
      <c r="P103" s="305" t="str">
        <f>IFERROR(Table5[[#This Row],[Payment Limit 2017Q1]]/Table5[[#This Row],[HCPCS code dosage 2017Q1]], "")</f>
        <v/>
      </c>
      <c r="Q103" s="416"/>
      <c r="R103" s="416"/>
      <c r="S103" s="416"/>
      <c r="T103" s="280" t="str">
        <f>IFERROR(VLOOKUP(Table5[[#This Row],[HCPCS code 2017 Q3]], ASP2017Q3[], 4, FALSE), "")</f>
        <v/>
      </c>
      <c r="U103" s="280" t="str">
        <f>IFERROR(Table5[[#This Row],[Payment Limit 2017Q3]]/Table5[[#This Row],[HCPCS code dosage 2017Q3]], "")</f>
        <v/>
      </c>
      <c r="V103" s="374"/>
      <c r="W103" s="510"/>
      <c r="X103" s="416"/>
      <c r="Y103" s="280"/>
      <c r="Z103" s="305" t="str">
        <f>IFERROR(Table5[[#This Row],[Payment Limit 2018 Q1]]/Table5[[#This Row],[HCPCS code dosage 2018 Q1]],"")</f>
        <v/>
      </c>
      <c r="AA103" s="374"/>
      <c r="AB103" s="381"/>
      <c r="AC103" s="142"/>
      <c r="AD103" s="378"/>
      <c r="AE103" s="305" t="str">
        <f>IFERROR(Table5[[#This Row],[Payment Limit 2018 Q3]]/Table5[[#This Row],[HCPCS code dosage 2018 Q3]],"")</f>
        <v/>
      </c>
      <c r="AF103" s="416"/>
      <c r="AG103" s="122"/>
      <c r="AH103" s="117"/>
      <c r="AI103" s="118"/>
      <c r="AJ103" s="118"/>
      <c r="AK103" s="132" t="str">
        <f>IFERROR(VLOOKUP(Table5[[#This Row],[HCPCS code 2019Q3]], ASP2019Q3[], 4, FALSE), "")</f>
        <v/>
      </c>
      <c r="AL103" s="72" t="str">
        <f>IFERROR(Table5[[#This Row],[Payment Limit 2019Q3]]/Table5[[#This Row],[HCPCS code dosage 2019Q3]], "")</f>
        <v/>
      </c>
      <c r="AM103" s="130"/>
      <c r="AN103" s="130"/>
      <c r="AO103" s="130"/>
      <c r="AP103" s="126" t="str">
        <f>IFERROR(VLOOKUP(Table5[[#This Row],[HCPCS code 2020Q1]], ASP2020Q1[], 4, FALSE), "")</f>
        <v/>
      </c>
      <c r="AQ103" s="77" t="str">
        <f>IFERROR(Table5[[#This Row],[Payment Limit 2020Q1]]/Table5[[#This Row],[HCPCS code dosage 2020Q1]], "")</f>
        <v/>
      </c>
      <c r="AR103" s="133"/>
      <c r="AS103" s="130"/>
      <c r="AT103" s="130"/>
      <c r="AU103" s="132" t="str">
        <f>IFERROR(VLOOKUP(Table5[[#This Row],[HCPCS code 2020Q3]], ASP2020Q3[], 4, FALSE), "")</f>
        <v/>
      </c>
      <c r="AV103" s="72" t="str">
        <f>IFERROR(Table5[[#This Row],[Payment limit 2020Q3]]/Table5[[#This Row],[HCPCS code dosage 2020Q3]],"")</f>
        <v/>
      </c>
      <c r="AW103" s="144"/>
      <c r="AX103" s="118"/>
      <c r="AY103" s="144"/>
      <c r="AZ103" s="144" t="str">
        <f>IFERROR(VLOOKUP(Table5[[#This Row],[HCPCS code 2021Q1]], ASP2021Q1[], 4, FALSE), "")</f>
        <v/>
      </c>
      <c r="BA103" s="122" t="str">
        <f>IFERROR(Table5[[#This Row],[Payment limit 2021Q1]]/Table5[[#This Row],[HCPCS code dosage 2021Q1]], "")</f>
        <v/>
      </c>
      <c r="BB103" s="147"/>
      <c r="BC103" s="118"/>
      <c r="BD103" s="144"/>
      <c r="BE103" s="144" t="str">
        <f>IFERROR(VLOOKUP(Table5[[#This Row],[HCPCS code 2021Q3]], ASP2021Q3[], 4, FALSE), "")</f>
        <v/>
      </c>
      <c r="BF103" s="122" t="str">
        <f>IFERROR(Table5[[#This Row],[Payment limit 2021Q3]]/Table5[[#This Row],[HCPCS code dosage 2021Q3]], "")</f>
        <v/>
      </c>
      <c r="BG103" s="147"/>
      <c r="BH103" s="118"/>
      <c r="BI103" s="144"/>
      <c r="BJ103" s="144" t="str">
        <f>IFERROR(VLOOKUP(Table5[[#This Row],[HCPCS code 2022Q1]], ASP2022Q1[], 4, FALSE), "")</f>
        <v/>
      </c>
      <c r="BK103" s="122" t="str">
        <f>IFERROR(Table5[[#This Row],[Payment limit 2022Q1]]/Table5[[#This Row],[HCPCS code dosage 2022Q1]], "")</f>
        <v/>
      </c>
      <c r="BL103" s="144" t="s">
        <v>2101</v>
      </c>
      <c r="BM103" s="184">
        <v>7.4999999999999997E-2</v>
      </c>
      <c r="BN103" s="144" t="s">
        <v>1470</v>
      </c>
      <c r="BO103" s="144">
        <f>IFERROR(VLOOKUP(Table5[[#This Row],[HCPCS Code 2022Q3]], ASP2022Q3[], 4, FALSE), "")</f>
        <v>188.29499999999999</v>
      </c>
      <c r="BP103" s="122">
        <f>IFERROR(Table5[[#This Row],[Payment limit 2022Q3]]/Table5[[#This Row],[HCPCS code dosage 2022Q3]], "")</f>
        <v>2510.6</v>
      </c>
      <c r="BQ103" s="144" t="s">
        <v>2101</v>
      </c>
      <c r="BR103" s="521">
        <v>7.4999999999999997E-2</v>
      </c>
      <c r="BS103" s="144" t="s">
        <v>1470</v>
      </c>
      <c r="BT103" s="144">
        <f>IFERROR(VLOOKUP(Table5[[#This Row],[HCPCS Code 2023Q1]], ASP2023Q1[], 4, FALSE), "")</f>
        <v>188.97800000000001</v>
      </c>
      <c r="BU103" s="144">
        <f>IFERROR(Table5[[#This Row],[Payment limit 2023Q1]]/Table5[[#This Row],[HCPCS code dosage 2023Q1]], "")</f>
        <v>2519.7066666666669</v>
      </c>
      <c r="BV103" s="79"/>
    </row>
    <row r="104" spans="1:74" x14ac:dyDescent="0.3">
      <c r="A104" s="69" t="s">
        <v>2093</v>
      </c>
      <c r="B104" s="273"/>
      <c r="C104" s="273"/>
      <c r="D104" s="275"/>
      <c r="E104" s="280" t="str">
        <f>IFERROR(VLOOKUP(Table5[[#This Row],[HCPCS code 2016 Q1]], ASP2016Q1[], 4, FALSE), "")</f>
        <v/>
      </c>
      <c r="F104" s="305" t="str">
        <f>IFERROR(Table5[[#This Row],[Payment Limit 2016Q1]]/Table5[[#This Row],[HCPCS code dosage 2016Q1]], "")</f>
        <v/>
      </c>
      <c r="G104" s="273"/>
      <c r="H104" s="273"/>
      <c r="I104" s="275"/>
      <c r="J104" s="280" t="str">
        <f>IFERROR(VLOOKUP(Table5[[#This Row],[HCPCS code 2016 Q3]], ASP2016Q3[], 4, FALSE), "")</f>
        <v/>
      </c>
      <c r="K104" s="305" t="str">
        <f>IFERROR(Table5[[#This Row],[Payment Limit 2016Q3]]/Table5[[#This Row],[HCPCS code dosage 2016Q3]], "")</f>
        <v/>
      </c>
      <c r="L104" s="273"/>
      <c r="M104" s="273"/>
      <c r="N104" s="275"/>
      <c r="O104" s="291" t="str">
        <f>IFERROR(VLOOKUP(Table5[[#This Row],[HCPCS code 2017 Q1]], ASP2017Q1[], 4, FALSE), "")</f>
        <v/>
      </c>
      <c r="P104" s="302" t="str">
        <f>IFERROR(Table5[[#This Row],[Payment Limit 2017Q1]]/Table5[[#This Row],[HCPCS code dosage 2017Q1]], "")</f>
        <v/>
      </c>
      <c r="Q104" s="142" t="s">
        <v>1992</v>
      </c>
      <c r="R104" s="142" t="s">
        <v>2434</v>
      </c>
      <c r="S104" s="416"/>
      <c r="T104" s="280" t="str">
        <f>IFERROR(VLOOKUP(Table5[[#This Row],[HCPCS code 2017 Q3]], ASP2017Q3[], 4, FALSE), "")</f>
        <v/>
      </c>
      <c r="U104" s="280" t="str">
        <f>IFERROR(Table5[[#This Row],[Payment Limit 2017Q3]]/Table5[[#This Row],[HCPCS code dosage 2017Q3]], "")</f>
        <v/>
      </c>
      <c r="V104" s="374"/>
      <c r="W104" s="377"/>
      <c r="X104" s="142"/>
      <c r="Y104" s="280"/>
      <c r="Z104" s="305"/>
      <c r="AA104" s="374"/>
      <c r="AB104" s="381"/>
      <c r="AC104" s="142"/>
      <c r="AD104" s="378"/>
      <c r="AE104" s="305"/>
      <c r="AF104" s="416"/>
      <c r="AG104" s="122"/>
      <c r="AH104" s="117"/>
      <c r="AI104" s="118"/>
      <c r="AJ104" s="118"/>
      <c r="AK104" s="132" t="str">
        <f>IFERROR(VLOOKUP(Table5[[#This Row],[HCPCS code 2019Q3]], ASP2019Q3[], 4, FALSE), "")</f>
        <v/>
      </c>
      <c r="AL104" s="72" t="str">
        <f>IFERROR(Table5[[#This Row],[Payment Limit 2019Q3]]/Table5[[#This Row],[HCPCS code dosage 2019Q3]], "")</f>
        <v/>
      </c>
      <c r="AM104" s="130"/>
      <c r="AN104" s="130"/>
      <c r="AO104" s="130"/>
      <c r="AP104" s="126" t="str">
        <f>IFERROR(VLOOKUP(Table5[[#This Row],[HCPCS code 2020Q1]], ASP2020Q1[], 4, FALSE), "")</f>
        <v/>
      </c>
      <c r="AQ104" s="77" t="str">
        <f>IFERROR(Table5[[#This Row],[Payment Limit 2020Q1]]/Table5[[#This Row],[HCPCS code dosage 2020Q1]], "")</f>
        <v/>
      </c>
      <c r="AR104" s="133"/>
      <c r="AS104" s="130"/>
      <c r="AT104" s="130"/>
      <c r="AU104" s="132" t="str">
        <f>IFERROR(VLOOKUP(Table5[[#This Row],[HCPCS code 2020Q3]], ASP2020Q3[], 4, FALSE), "")</f>
        <v/>
      </c>
      <c r="AV104" s="72" t="str">
        <f>IFERROR(Table5[[#This Row],[Payment limit 2020Q3]]/Table5[[#This Row],[HCPCS code dosage 2020Q3]],"")</f>
        <v/>
      </c>
      <c r="AW104" s="144"/>
      <c r="AX104" s="118"/>
      <c r="AY104" s="144"/>
      <c r="AZ104" s="144" t="str">
        <f>IFERROR(VLOOKUP(Table5[[#This Row],[HCPCS code 2021Q1]], ASP2021Q1[], 4, FALSE), "")</f>
        <v/>
      </c>
      <c r="BA104" s="122" t="str">
        <f>IFERROR(Table5[[#This Row],[Payment limit 2021Q1]]/Table5[[#This Row],[HCPCS code dosage 2021Q1]], "")</f>
        <v/>
      </c>
      <c r="BB104" s="147" t="s">
        <v>1992</v>
      </c>
      <c r="BC104" s="118">
        <v>0.1</v>
      </c>
      <c r="BD104" s="144" t="s">
        <v>1470</v>
      </c>
      <c r="BE104" s="144">
        <f>IFERROR(VLOOKUP(Table5[[#This Row],[HCPCS code 2021Q3]], ASP2021Q3[], 4, FALSE), "")</f>
        <v>174.2</v>
      </c>
      <c r="BF104" s="122">
        <f>IFERROR(Table5[[#This Row],[Payment limit 2021Q3]]/Table5[[#This Row],[HCPCS code dosage 2021Q3]], "")</f>
        <v>1741.9999999999998</v>
      </c>
      <c r="BG104" s="147" t="s">
        <v>1992</v>
      </c>
      <c r="BH104" s="118">
        <v>0.1</v>
      </c>
      <c r="BI104" s="144" t="s">
        <v>1470</v>
      </c>
      <c r="BJ104" s="144">
        <f>IFERROR(VLOOKUP(Table5[[#This Row],[HCPCS code 2022Q1]], ASP2022Q1[], 4, FALSE), "")</f>
        <v>180.232</v>
      </c>
      <c r="BK104" s="122">
        <f>IFERROR(Table5[[#This Row],[Payment limit 2022Q1]]/Table5[[#This Row],[HCPCS code dosage 2022Q1]], "")</f>
        <v>1802.32</v>
      </c>
      <c r="BL104" s="144" t="s">
        <v>1992</v>
      </c>
      <c r="BM104" s="184"/>
      <c r="BN104" s="144"/>
      <c r="BO104" s="144">
        <f>IFERROR(VLOOKUP(Table5[[#This Row],[HCPCS Code 2022Q3]], ASP2022Q3[], 4, FALSE), "")</f>
        <v>183.97900000000001</v>
      </c>
      <c r="BP104" s="122" t="str">
        <f>IFERROR(Table5[[#This Row],[Payment limit 2022Q3]]/Table5[[#This Row],[HCPCS code dosage 2022Q3]], "")</f>
        <v/>
      </c>
      <c r="BQ104" s="144" t="s">
        <v>1992</v>
      </c>
      <c r="BR104" s="118">
        <v>0.1</v>
      </c>
      <c r="BS104" s="144" t="s">
        <v>1470</v>
      </c>
      <c r="BT104" s="144">
        <v>185.98099999999999</v>
      </c>
      <c r="BU104" s="144">
        <f>IFERROR(Table5[[#This Row],[Payment limit 2023Q1]]/Table5[[#This Row],[HCPCS code dosage 2023Q1]], "")</f>
        <v>1859.81</v>
      </c>
      <c r="BV104" s="79"/>
    </row>
    <row r="105" spans="1:74" x14ac:dyDescent="0.3">
      <c r="A105" s="62" t="s">
        <v>184</v>
      </c>
      <c r="B105" s="286" t="s">
        <v>1545</v>
      </c>
      <c r="C105" s="286">
        <v>10</v>
      </c>
      <c r="D105" s="307" t="s">
        <v>1470</v>
      </c>
      <c r="E105" s="292">
        <f>IFERROR(VLOOKUP(Table5[[#This Row],[HCPCS code 2016 Q1]], ASP2016Q1[], 4, FALSE), "")</f>
        <v>241.714</v>
      </c>
      <c r="F105" s="303">
        <f>IFERROR(Table5[[#This Row],[Payment Limit 2016Q1]]/Table5[[#This Row],[HCPCS code dosage 2016Q1]], "")</f>
        <v>24.171399999999998</v>
      </c>
      <c r="G105" s="286" t="s">
        <v>1545</v>
      </c>
      <c r="H105" s="286">
        <v>10</v>
      </c>
      <c r="I105" s="307" t="s">
        <v>1470</v>
      </c>
      <c r="J105" s="292">
        <f>IFERROR(VLOOKUP(Table5[[#This Row],[HCPCS code 2016 Q3]], ASP2016Q3[], 4, FALSE), "")</f>
        <v>266.34100000000001</v>
      </c>
      <c r="K105" s="303">
        <f>IFERROR(Table5[[#This Row],[Payment Limit 2016Q3]]/Table5[[#This Row],[HCPCS code dosage 2016Q3]], "")</f>
        <v>26.6341</v>
      </c>
      <c r="L105" s="286" t="s">
        <v>1545</v>
      </c>
      <c r="M105" s="286">
        <v>10</v>
      </c>
      <c r="N105" s="307" t="s">
        <v>1470</v>
      </c>
      <c r="O105" s="291">
        <f>IFERROR(VLOOKUP(Table5[[#This Row],[HCPCS code 2017 Q1]], ASP2017Q1[], 4, FALSE), "")</f>
        <v>265.88799999999998</v>
      </c>
      <c r="P105" s="302">
        <f>IFERROR(Table5[[#This Row],[Payment Limit 2017Q1]]/Table5[[#This Row],[HCPCS code dosage 2017Q1]], "")</f>
        <v>26.588799999999999</v>
      </c>
      <c r="Q105" s="275" t="s">
        <v>1545</v>
      </c>
      <c r="R105" s="275">
        <v>10</v>
      </c>
      <c r="S105" s="275" t="s">
        <v>1470</v>
      </c>
      <c r="T105" s="279">
        <f>IFERROR(VLOOKUP(Table5[[#This Row],[HCPCS code 2017 Q3]], ASP2017Q3[], 4, FALSE), "")</f>
        <v>292.88600000000002</v>
      </c>
      <c r="U105" s="279">
        <f>IFERROR(Table5[[#This Row],[Payment Limit 2017Q3]]/Table5[[#This Row],[HCPCS code dosage 2017Q3]], "")</f>
        <v>29.288600000000002</v>
      </c>
      <c r="V105" s="374" t="s">
        <v>1545</v>
      </c>
      <c r="W105" s="377">
        <v>10</v>
      </c>
      <c r="X105" s="142" t="s">
        <v>1470</v>
      </c>
      <c r="Y105" s="279">
        <v>292.47800000000001</v>
      </c>
      <c r="Z105" s="370">
        <f>IFERROR(Table5[[#This Row],[Payment Limit 2018 Q1]]/Table5[[#This Row],[HCPCS code dosage 2018 Q1]],"")</f>
        <v>29.247800000000002</v>
      </c>
      <c r="AA105" s="374" t="s">
        <v>1545</v>
      </c>
      <c r="AB105" s="381">
        <v>10</v>
      </c>
      <c r="AC105" s="142" t="s">
        <v>1470</v>
      </c>
      <c r="AD105" s="378">
        <v>322.65899999999999</v>
      </c>
      <c r="AE105" s="370">
        <f>IFERROR(Table5[[#This Row],[Payment Limit 2018 Q3]]/Table5[[#This Row],[HCPCS code dosage 2018 Q3]],"")</f>
        <v>32.265900000000002</v>
      </c>
      <c r="AF105" s="275" t="s">
        <v>1545</v>
      </c>
      <c r="AG105" s="122">
        <v>32.008600000000001</v>
      </c>
      <c r="AH105" s="117" t="s">
        <v>1545</v>
      </c>
      <c r="AI105" s="118">
        <v>10</v>
      </c>
      <c r="AJ105" s="118" t="s">
        <v>1470</v>
      </c>
      <c r="AK105" s="115">
        <v>322.66000000000003</v>
      </c>
      <c r="AL105" s="72">
        <f>IFERROR(Table5[[#This Row],[Payment Limit 2019Q3]]/Table5[[#This Row],[HCPCS code dosage 2019Q3]], "")</f>
        <v>32.266000000000005</v>
      </c>
      <c r="AM105" s="130" t="s">
        <v>1545</v>
      </c>
      <c r="AN105" s="130">
        <v>10</v>
      </c>
      <c r="AO105" s="130" t="s">
        <v>1470</v>
      </c>
      <c r="AP105" s="126">
        <v>322.66000000000003</v>
      </c>
      <c r="AQ105" s="77">
        <f>IFERROR(Table5[[#This Row],[Payment Limit 2020Q1]]/Table5[[#This Row],[HCPCS code dosage 2020Q1]], "")</f>
        <v>32.266000000000005</v>
      </c>
      <c r="AR105" s="133" t="s">
        <v>1545</v>
      </c>
      <c r="AS105" s="130">
        <v>10</v>
      </c>
      <c r="AT105" s="130" t="s">
        <v>1470</v>
      </c>
      <c r="AU105" s="132">
        <v>322.66000000000003</v>
      </c>
      <c r="AV105" s="72">
        <f>IFERROR(Table5[[#This Row],[Payment limit 2020Q3]]/Table5[[#This Row],[HCPCS code dosage 2020Q3]],"")</f>
        <v>32.266000000000005</v>
      </c>
      <c r="AW105" s="144" t="s">
        <v>1545</v>
      </c>
      <c r="AX105" s="118"/>
      <c r="AY105" s="144" t="s">
        <v>1470</v>
      </c>
      <c r="AZ105" s="144"/>
      <c r="BA105" s="122" t="str">
        <f>IFERROR(Table5[[#This Row],[Payment limit 2021Q1]]/Table5[[#This Row],[HCPCS code dosage 2021Q1]], "")</f>
        <v/>
      </c>
      <c r="BB105" s="147" t="s">
        <v>1545</v>
      </c>
      <c r="BC105" s="118"/>
      <c r="BD105" s="144" t="s">
        <v>1470</v>
      </c>
      <c r="BE105" s="144"/>
      <c r="BF105" s="122" t="str">
        <f>IFERROR(Table5[[#This Row],[Payment limit 2021Q3]]/Table5[[#This Row],[HCPCS code dosage 2021Q3]], "")</f>
        <v/>
      </c>
      <c r="BG105" s="147" t="s">
        <v>1545</v>
      </c>
      <c r="BH105" s="118">
        <v>10</v>
      </c>
      <c r="BI105" s="144" t="s">
        <v>1470</v>
      </c>
      <c r="BJ105" s="144" t="str">
        <f>IFERROR(VLOOKUP(Table5[[#This Row],[HCPCS code 2022Q1]], ASP2022Q1[], 4, FALSE), "")</f>
        <v/>
      </c>
      <c r="BK105" s="122" t="str">
        <f>IFERROR(Table5[[#This Row],[Payment limit 2022Q1]]/Table5[[#This Row],[HCPCS code dosage 2022Q1]], "")</f>
        <v/>
      </c>
      <c r="BL105" s="144" t="s">
        <v>1545</v>
      </c>
      <c r="BM105" s="184">
        <v>0</v>
      </c>
      <c r="BN105" s="144" t="s">
        <v>1470</v>
      </c>
      <c r="BO105" s="144" t="str">
        <f>IFERROR(VLOOKUP(Table5[[#This Row],[HCPCS Code 2022Q3]], ASP2022Q3[], 4, FALSE), "")</f>
        <v/>
      </c>
      <c r="BP105" s="122" t="str">
        <f>IFERROR(Table5[[#This Row],[Payment limit 2022Q3]]/Table5[[#This Row],[HCPCS code dosage 2022Q3]], "")</f>
        <v/>
      </c>
      <c r="BQ105" s="144" t="s">
        <v>1545</v>
      </c>
      <c r="BR105" s="118"/>
      <c r="BS105" s="144"/>
      <c r="BT105" s="144" t="s">
        <v>2365</v>
      </c>
      <c r="BU105" s="144" t="str">
        <f>IFERROR(Table5[[#This Row],[Payment limit 2023Q1]]/Table5[[#This Row],[HCPCS code dosage 2023Q1]], "")</f>
        <v/>
      </c>
      <c r="BV105" s="79" t="s">
        <v>1692</v>
      </c>
    </row>
    <row r="106" spans="1:74" x14ac:dyDescent="0.3">
      <c r="A106" s="62" t="s">
        <v>74</v>
      </c>
      <c r="B106" s="286" t="s">
        <v>1260</v>
      </c>
      <c r="C106" s="286">
        <v>50</v>
      </c>
      <c r="D106" s="307" t="s">
        <v>1470</v>
      </c>
      <c r="E106" s="292">
        <f>IFERROR(VLOOKUP(Table5[[#This Row],[HCPCS code 2016 Q1]], ASP2016Q1[], 4, FALSE), "")</f>
        <v>1604.05</v>
      </c>
      <c r="F106" s="303">
        <f>IFERROR(Table5[[#This Row],[Payment Limit 2016Q1]]/Table5[[#This Row],[HCPCS code dosage 2016Q1]], "")</f>
        <v>32.080999999999996</v>
      </c>
      <c r="G106" s="286" t="s">
        <v>1260</v>
      </c>
      <c r="H106" s="286">
        <v>50</v>
      </c>
      <c r="I106" s="307" t="s">
        <v>1470</v>
      </c>
      <c r="J106" s="292">
        <f>IFERROR(VLOOKUP(Table5[[#This Row],[HCPCS code 2016 Q3]], ASP2016Q3[], 4, FALSE), "")</f>
        <v>1765.9659999999999</v>
      </c>
      <c r="K106" s="303">
        <f>IFERROR(Table5[[#This Row],[Payment Limit 2016Q3]]/Table5[[#This Row],[HCPCS code dosage 2016Q3]], "")</f>
        <v>35.319319999999998</v>
      </c>
      <c r="L106" s="286" t="s">
        <v>1260</v>
      </c>
      <c r="M106" s="286">
        <v>50</v>
      </c>
      <c r="N106" s="307" t="s">
        <v>1470</v>
      </c>
      <c r="O106" s="291">
        <f>IFERROR(VLOOKUP(Table5[[#This Row],[HCPCS code 2017 Q1]], ASP2017Q1[], 4, FALSE), "")</f>
        <v>2017.0350000000001</v>
      </c>
      <c r="P106" s="302">
        <f>IFERROR(Table5[[#This Row],[Payment Limit 2017Q1]]/Table5[[#This Row],[HCPCS code dosage 2017Q1]], "")</f>
        <v>40.340699999999998</v>
      </c>
      <c r="Q106" s="275" t="s">
        <v>1260</v>
      </c>
      <c r="R106" s="275">
        <v>50</v>
      </c>
      <c r="S106" s="275" t="s">
        <v>1470</v>
      </c>
      <c r="T106" s="279">
        <f>IFERROR(VLOOKUP(Table5[[#This Row],[HCPCS code 2017 Q3]], ASP2017Q3[], 4, FALSE), "")</f>
        <v>1468.85</v>
      </c>
      <c r="U106" s="279">
        <f>IFERROR(Table5[[#This Row],[Payment Limit 2017Q3]]/Table5[[#This Row],[HCPCS code dosage 2017Q3]], "")</f>
        <v>29.376999999999999</v>
      </c>
      <c r="V106" s="374" t="s">
        <v>1260</v>
      </c>
      <c r="W106" s="377">
        <v>50</v>
      </c>
      <c r="X106" s="142" t="s">
        <v>1470</v>
      </c>
      <c r="Y106" s="279">
        <v>1193.001</v>
      </c>
      <c r="Z106" s="370">
        <f>IFERROR(Table5[[#This Row],[Payment Limit 2018 Q1]]/Table5[[#This Row],[HCPCS code dosage 2018 Q1]],"")</f>
        <v>23.860019999999999</v>
      </c>
      <c r="AA106" s="374" t="s">
        <v>1260</v>
      </c>
      <c r="AB106" s="381">
        <v>50</v>
      </c>
      <c r="AC106" s="142" t="s">
        <v>1470</v>
      </c>
      <c r="AD106" s="378">
        <v>1055.9159999999999</v>
      </c>
      <c r="AE106" s="370">
        <f>IFERROR(Table5[[#This Row],[Payment Limit 2018 Q3]]/Table5[[#This Row],[HCPCS code dosage 2018 Q3]],"")</f>
        <v>21.118319999999997</v>
      </c>
      <c r="AF106" s="275" t="s">
        <v>1260</v>
      </c>
      <c r="AG106" s="122">
        <v>16.092680000000001</v>
      </c>
      <c r="AH106" s="117" t="s">
        <v>1260</v>
      </c>
      <c r="AI106" s="118" t="s">
        <v>1676</v>
      </c>
      <c r="AJ106" s="118" t="s">
        <v>1470</v>
      </c>
      <c r="AK106" s="115">
        <f>IFERROR(VLOOKUP(Table5[[#This Row],[HCPCS code 2019Q3]], ASP2019Q3[], 4, FALSE), "")</f>
        <v>636.13400000000001</v>
      </c>
      <c r="AL106" s="72">
        <f>IFERROR(Table5[[#This Row],[Payment Limit 2019Q3]]/Table5[[#This Row],[HCPCS code dosage 2019Q3]], "")</f>
        <v>12.72268</v>
      </c>
      <c r="AM106" s="130" t="s">
        <v>1260</v>
      </c>
      <c r="AN106" s="130" t="s">
        <v>1676</v>
      </c>
      <c r="AO106" s="130" t="s">
        <v>1470</v>
      </c>
      <c r="AP106" s="126">
        <f>IFERROR(VLOOKUP(Table5[[#This Row],[HCPCS code 2020Q1]], ASP2020Q1[], 4, FALSE), "")</f>
        <v>633.38800000000003</v>
      </c>
      <c r="AQ106" s="77">
        <f>IFERROR(Table5[[#This Row],[Payment Limit 2020Q1]]/Table5[[#This Row],[HCPCS code dosage 2020Q1]], "")</f>
        <v>12.667760000000001</v>
      </c>
      <c r="AR106" s="133" t="s">
        <v>1260</v>
      </c>
      <c r="AS106" s="130" t="s">
        <v>1676</v>
      </c>
      <c r="AT106" s="130" t="s">
        <v>1470</v>
      </c>
      <c r="AU106" s="132">
        <f>IFERROR(VLOOKUP(Table5[[#This Row],[HCPCS code 2020Q3]], ASP2020Q3[], 4, FALSE), "")</f>
        <v>182.78800000000001</v>
      </c>
      <c r="AV106" s="72">
        <f>IFERROR(Table5[[#This Row],[Payment limit 2020Q3]]/Table5[[#This Row],[HCPCS code dosage 2020Q3]],"")</f>
        <v>3.6557600000000003</v>
      </c>
      <c r="AW106" s="144" t="s">
        <v>1260</v>
      </c>
      <c r="AX106" s="118" t="s">
        <v>1676</v>
      </c>
      <c r="AY106" s="144" t="s">
        <v>1470</v>
      </c>
      <c r="AZ106" s="144">
        <f>IFERROR(VLOOKUP(Table5[[#This Row],[HCPCS code 2021Q1]], ASP2021Q1[], 4, FALSE), "")</f>
        <v>228.78800000000001</v>
      </c>
      <c r="BA106" s="122">
        <f>IFERROR(Table5[[#This Row],[Payment limit 2021Q1]]/Table5[[#This Row],[HCPCS code dosage 2021Q1]], "")</f>
        <v>4.5757599999999998</v>
      </c>
      <c r="BB106" s="147" t="s">
        <v>1260</v>
      </c>
      <c r="BC106" s="118" t="s">
        <v>1676</v>
      </c>
      <c r="BD106" s="144" t="s">
        <v>1470</v>
      </c>
      <c r="BE106" s="144">
        <f>IFERROR(VLOOKUP(Table5[[#This Row],[HCPCS code 2021Q3]], ASP2021Q3[], 4, FALSE), "")</f>
        <v>224.39699999999999</v>
      </c>
      <c r="BF106" s="122">
        <f>IFERROR(Table5[[#This Row],[Payment limit 2021Q3]]/Table5[[#This Row],[HCPCS code dosage 2021Q3]], "")</f>
        <v>4.48794</v>
      </c>
      <c r="BG106" s="147" t="s">
        <v>1260</v>
      </c>
      <c r="BH106" s="118" t="s">
        <v>1676</v>
      </c>
      <c r="BI106" s="144" t="s">
        <v>1470</v>
      </c>
      <c r="BJ106" s="144">
        <f>IFERROR(VLOOKUP(Table5[[#This Row],[HCPCS code 2022Q1]], ASP2022Q1[], 4, FALSE), "")</f>
        <v>197.458</v>
      </c>
      <c r="BK106" s="122">
        <f>IFERROR(Table5[[#This Row],[Payment limit 2022Q1]]/Table5[[#This Row],[HCPCS code dosage 2022Q1]], "")</f>
        <v>3.94916</v>
      </c>
      <c r="BL106" s="144" t="s">
        <v>1260</v>
      </c>
      <c r="BM106" s="184">
        <v>50</v>
      </c>
      <c r="BN106" s="144" t="s">
        <v>1470</v>
      </c>
      <c r="BO106" s="144">
        <f>IFERROR(VLOOKUP(Table5[[#This Row],[HCPCS Code 2022Q3]], ASP2022Q3[], 4, FALSE), "")</f>
        <v>181.506</v>
      </c>
      <c r="BP106" s="122">
        <f>IFERROR(Table5[[#This Row],[Payment limit 2022Q3]]/Table5[[#This Row],[HCPCS code dosage 2022Q3]], "")</f>
        <v>3.6301199999999998</v>
      </c>
      <c r="BQ106" s="144" t="s">
        <v>1260</v>
      </c>
      <c r="BR106" s="118">
        <v>50</v>
      </c>
      <c r="BS106" s="144" t="s">
        <v>1470</v>
      </c>
      <c r="BT106" s="144">
        <v>220.661</v>
      </c>
      <c r="BU106" s="144">
        <f>IFERROR(Table5[[#This Row],[Payment limit 2023Q1]]/Table5[[#This Row],[HCPCS code dosage 2023Q1]], "")</f>
        <v>4.4132199999999999</v>
      </c>
      <c r="BV106" s="79"/>
    </row>
    <row r="107" spans="1:74" x14ac:dyDescent="0.3">
      <c r="A107" s="62" t="s">
        <v>137</v>
      </c>
      <c r="B107" s="286" t="s">
        <v>1130</v>
      </c>
      <c r="C107" s="286">
        <v>2</v>
      </c>
      <c r="D107" s="307" t="s">
        <v>1470</v>
      </c>
      <c r="E107" s="292">
        <f>IFERROR(VLOOKUP(Table5[[#This Row],[HCPCS code 2016 Q1]], ASP2016Q1[], 4, FALSE), "")</f>
        <v>10.606999999999999</v>
      </c>
      <c r="F107" s="303">
        <f>IFERROR(Table5[[#This Row],[Payment Limit 2016Q1]]/Table5[[#This Row],[HCPCS code dosage 2016Q1]], "")</f>
        <v>5.3034999999999997</v>
      </c>
      <c r="G107" s="286" t="s">
        <v>1130</v>
      </c>
      <c r="H107" s="286">
        <v>2</v>
      </c>
      <c r="I107" s="307" t="s">
        <v>1470</v>
      </c>
      <c r="J107" s="292">
        <f>IFERROR(VLOOKUP(Table5[[#This Row],[HCPCS code 2016 Q3]], ASP2016Q3[], 4, FALSE), "")</f>
        <v>11.238</v>
      </c>
      <c r="K107" s="303">
        <f>IFERROR(Table5[[#This Row],[Payment Limit 2016Q3]]/Table5[[#This Row],[HCPCS code dosage 2016Q3]], "")</f>
        <v>5.6189999999999998</v>
      </c>
      <c r="L107" s="286" t="s">
        <v>1130</v>
      </c>
      <c r="M107" s="286">
        <v>2</v>
      </c>
      <c r="N107" s="307" t="s">
        <v>1470</v>
      </c>
      <c r="O107" s="291">
        <f>IFERROR(VLOOKUP(Table5[[#This Row],[HCPCS code 2017 Q1]], ASP2017Q1[], 4, FALSE), "")</f>
        <v>11.71</v>
      </c>
      <c r="P107" s="302">
        <f>IFERROR(Table5[[#This Row],[Payment Limit 2017Q1]]/Table5[[#This Row],[HCPCS code dosage 2017Q1]], "")</f>
        <v>5.8550000000000004</v>
      </c>
      <c r="Q107" s="275" t="s">
        <v>1130</v>
      </c>
      <c r="R107" s="275">
        <v>2</v>
      </c>
      <c r="S107" s="275" t="s">
        <v>1470</v>
      </c>
      <c r="T107" s="279">
        <f>IFERROR(VLOOKUP(Table5[[#This Row],[HCPCS code 2017 Q3]], ASP2017Q3[], 4, FALSE), "")</f>
        <v>11.724</v>
      </c>
      <c r="U107" s="279">
        <f>IFERROR(Table5[[#This Row],[Payment Limit 2017Q3]]/Table5[[#This Row],[HCPCS code dosage 2017Q3]], "")</f>
        <v>5.8620000000000001</v>
      </c>
      <c r="V107" s="374" t="s">
        <v>1130</v>
      </c>
      <c r="W107" s="377">
        <v>2</v>
      </c>
      <c r="X107" s="142" t="s">
        <v>1470</v>
      </c>
      <c r="Y107" s="279">
        <v>11.724</v>
      </c>
      <c r="Z107" s="370">
        <f>IFERROR(Table5[[#This Row],[Payment Limit 2018 Q1]]/Table5[[#This Row],[HCPCS code dosage 2018 Q1]],"")</f>
        <v>5.8620000000000001</v>
      </c>
      <c r="AA107" s="374" t="s">
        <v>1130</v>
      </c>
      <c r="AB107" s="381">
        <v>2</v>
      </c>
      <c r="AC107" s="142" t="s">
        <v>1470</v>
      </c>
      <c r="AD107" s="378">
        <v>11.677</v>
      </c>
      <c r="AE107" s="370">
        <f>IFERROR(Table5[[#This Row],[Payment Limit 2018 Q3]]/Table5[[#This Row],[HCPCS code dosage 2018 Q3]],"")</f>
        <v>5.8384999999999998</v>
      </c>
      <c r="AF107" s="275" t="s">
        <v>1130</v>
      </c>
      <c r="AG107" s="122">
        <v>6</v>
      </c>
      <c r="AH107" s="117" t="s">
        <v>1130</v>
      </c>
      <c r="AI107" s="118">
        <v>2</v>
      </c>
      <c r="AJ107" s="118" t="s">
        <v>1470</v>
      </c>
      <c r="AK107" s="115">
        <f>IFERROR(VLOOKUP(Table5[[#This Row],[HCPCS code 2019Q3]], ASP2019Q3[], 4, FALSE), "")</f>
        <v>11.999624000000001</v>
      </c>
      <c r="AL107" s="72">
        <f>IFERROR(Table5[[#This Row],[Payment Limit 2019Q3]]/Table5[[#This Row],[HCPCS code dosage 2019Q3]], "")</f>
        <v>5.9998120000000004</v>
      </c>
      <c r="AM107" s="130" t="s">
        <v>1130</v>
      </c>
      <c r="AN107" s="130">
        <v>2</v>
      </c>
      <c r="AO107" s="130" t="s">
        <v>1470</v>
      </c>
      <c r="AP107" s="126">
        <v>11.999624000000001</v>
      </c>
      <c r="AQ107" s="77">
        <f>IFERROR(Table5[[#This Row],[Payment Limit 2020Q1]]/Table5[[#This Row],[HCPCS code dosage 2020Q1]], "")</f>
        <v>5.9998120000000004</v>
      </c>
      <c r="AR107" s="133" t="s">
        <v>1130</v>
      </c>
      <c r="AS107" s="130">
        <v>2</v>
      </c>
      <c r="AT107" s="130" t="s">
        <v>1470</v>
      </c>
      <c r="AU107" s="132">
        <v>11.999624000000001</v>
      </c>
      <c r="AV107" s="72">
        <f>IFERROR(Table5[[#This Row],[Payment limit 2020Q3]]/Table5[[#This Row],[HCPCS code dosage 2020Q3]],"")</f>
        <v>5.9998120000000004</v>
      </c>
      <c r="AW107" s="144" t="s">
        <v>1130</v>
      </c>
      <c r="AX107" s="118">
        <v>2</v>
      </c>
      <c r="AY107" s="144" t="s">
        <v>1470</v>
      </c>
      <c r="AZ107" s="144">
        <v>11.999624000000001</v>
      </c>
      <c r="BA107" s="122">
        <f>IFERROR(Table5[[#This Row],[Payment limit 2021Q1]]/Table5[[#This Row],[HCPCS code dosage 2021Q1]], "")</f>
        <v>5.9998120000000004</v>
      </c>
      <c r="BB107" s="147" t="s">
        <v>1130</v>
      </c>
      <c r="BC107" s="118">
        <v>2</v>
      </c>
      <c r="BD107" s="144" t="s">
        <v>1470</v>
      </c>
      <c r="BE107" s="144">
        <v>11.999624000000001</v>
      </c>
      <c r="BF107" s="122">
        <f>IFERROR(Table5[[#This Row],[Payment limit 2021Q3]]/Table5[[#This Row],[HCPCS code dosage 2021Q3]], "")</f>
        <v>5.9998120000000004</v>
      </c>
      <c r="BG107" s="147" t="s">
        <v>1130</v>
      </c>
      <c r="BH107" s="118">
        <v>2</v>
      </c>
      <c r="BI107" s="144" t="s">
        <v>1470</v>
      </c>
      <c r="BJ107" s="144">
        <v>11.999624000000001</v>
      </c>
      <c r="BK107" s="122">
        <f>IFERROR(Table5[[#This Row],[Payment limit 2022Q1]]/Table5[[#This Row],[HCPCS code dosage 2022Q1]], "")</f>
        <v>5.9998120000000004</v>
      </c>
      <c r="BL107" s="144" t="s">
        <v>1130</v>
      </c>
      <c r="BM107" s="184">
        <v>2</v>
      </c>
      <c r="BN107" s="144" t="s">
        <v>1470</v>
      </c>
      <c r="BO107" s="144" t="str">
        <f>IFERROR(VLOOKUP(Table5[[#This Row],[HCPCS Code 2022Q3]], ASP2022Q3[], 4, FALSE), "")</f>
        <v/>
      </c>
      <c r="BP107" s="122" t="str">
        <f>IFERROR(Table5[[#This Row],[Payment limit 2022Q3]]/Table5[[#This Row],[HCPCS code dosage 2022Q3]], "")</f>
        <v/>
      </c>
      <c r="BQ107" s="144" t="s">
        <v>1130</v>
      </c>
      <c r="BR107" s="118"/>
      <c r="BS107" s="144"/>
      <c r="BT107" s="144" t="s">
        <v>2365</v>
      </c>
      <c r="BU107" s="144" t="str">
        <f>IFERROR(Table5[[#This Row],[Payment limit 2023Q1]]/Table5[[#This Row],[HCPCS code dosage 2023Q1]], "")</f>
        <v/>
      </c>
      <c r="BV107" s="79" t="s">
        <v>1919</v>
      </c>
    </row>
    <row r="108" spans="1:74" x14ac:dyDescent="0.3">
      <c r="A108" s="62" t="s">
        <v>148</v>
      </c>
      <c r="B108" s="286" t="s">
        <v>1242</v>
      </c>
      <c r="C108" s="286">
        <v>200</v>
      </c>
      <c r="D108" s="307" t="s">
        <v>1470</v>
      </c>
      <c r="E108" s="292">
        <f>IFERROR(VLOOKUP(Table5[[#This Row],[HCPCS code 2016 Q1]], ASP2016Q1[], 4, FALSE), "")</f>
        <v>4.1539999999999999</v>
      </c>
      <c r="F108" s="303">
        <f>IFERROR(Table5[[#This Row],[Payment Limit 2016Q1]]/Table5[[#This Row],[HCPCS code dosage 2016Q1]], "")</f>
        <v>2.077E-2</v>
      </c>
      <c r="G108" s="286" t="s">
        <v>1242</v>
      </c>
      <c r="H108" s="286">
        <v>200</v>
      </c>
      <c r="I108" s="307" t="s">
        <v>1470</v>
      </c>
      <c r="J108" s="292">
        <f>IFERROR(VLOOKUP(Table5[[#This Row],[HCPCS code 2016 Q3]], ASP2016Q3[], 4, FALSE), "")</f>
        <v>3.2370000000000001</v>
      </c>
      <c r="K108" s="303">
        <f>IFERROR(Table5[[#This Row],[Payment Limit 2016Q3]]/Table5[[#This Row],[HCPCS code dosage 2016Q3]], "")</f>
        <v>1.6185000000000001E-2</v>
      </c>
      <c r="L108" s="286" t="s">
        <v>1242</v>
      </c>
      <c r="M108" s="286">
        <v>200</v>
      </c>
      <c r="N108" s="307" t="s">
        <v>1470</v>
      </c>
      <c r="O108" s="291">
        <f>IFERROR(VLOOKUP(Table5[[#This Row],[HCPCS code 2017 Q1]], ASP2017Q1[], 4, FALSE), "")</f>
        <v>1.9850000000000001</v>
      </c>
      <c r="P108" s="302">
        <f>IFERROR(Table5[[#This Row],[Payment Limit 2017Q1]]/Table5[[#This Row],[HCPCS code dosage 2017Q1]], "")</f>
        <v>9.9249999999999998E-3</v>
      </c>
      <c r="Q108" s="275" t="s">
        <v>1242</v>
      </c>
      <c r="R108" s="275">
        <v>200</v>
      </c>
      <c r="S108" s="275" t="s">
        <v>1470</v>
      </c>
      <c r="T108" s="279">
        <f>IFERROR(VLOOKUP(Table5[[#This Row],[HCPCS code 2017 Q3]], ASP2017Q3[], 4, FALSE), "")</f>
        <v>2.1680000000000001</v>
      </c>
      <c r="U108" s="279">
        <f>IFERROR(Table5[[#This Row],[Payment Limit 2017Q3]]/Table5[[#This Row],[HCPCS code dosage 2017Q3]], "")</f>
        <v>1.0840000000000001E-2</v>
      </c>
      <c r="V108" s="374" t="s">
        <v>1242</v>
      </c>
      <c r="W108" s="377">
        <v>200</v>
      </c>
      <c r="X108" s="142" t="s">
        <v>1470</v>
      </c>
      <c r="Y108" s="279">
        <v>2.2909999999999999</v>
      </c>
      <c r="Z108" s="370">
        <f>IFERROR(Table5[[#This Row],[Payment Limit 2018 Q1]]/Table5[[#This Row],[HCPCS code dosage 2018 Q1]],"")</f>
        <v>1.1455E-2</v>
      </c>
      <c r="AA108" s="374" t="s">
        <v>1242</v>
      </c>
      <c r="AB108" s="381">
        <v>200</v>
      </c>
      <c r="AC108" s="142" t="s">
        <v>1470</v>
      </c>
      <c r="AD108" s="378">
        <v>2.472</v>
      </c>
      <c r="AE108" s="370">
        <f>IFERROR(Table5[[#This Row],[Payment Limit 2018 Q3]]/Table5[[#This Row],[HCPCS code dosage 2018 Q3]],"")</f>
        <v>1.2359999999999999E-2</v>
      </c>
      <c r="AF108" s="275" t="s">
        <v>1242</v>
      </c>
      <c r="AG108" s="122">
        <v>1.0485E-2</v>
      </c>
      <c r="AH108" s="117" t="s">
        <v>1242</v>
      </c>
      <c r="AI108" s="118" t="s">
        <v>1670</v>
      </c>
      <c r="AJ108" s="118" t="s">
        <v>1470</v>
      </c>
      <c r="AK108" s="115">
        <f>IFERROR(VLOOKUP(Table5[[#This Row],[HCPCS code 2019Q3]], ASP2019Q3[], 4, FALSE), "")</f>
        <v>1.468</v>
      </c>
      <c r="AL108" s="72">
        <f>IFERROR(Table5[[#This Row],[Payment Limit 2019Q3]]/Table5[[#This Row],[HCPCS code dosage 2019Q3]], "")</f>
        <v>7.3400000000000002E-3</v>
      </c>
      <c r="AM108" s="130" t="s">
        <v>1242</v>
      </c>
      <c r="AN108" s="130" t="s">
        <v>1670</v>
      </c>
      <c r="AO108" s="130" t="s">
        <v>1470</v>
      </c>
      <c r="AP108" s="126">
        <f>IFERROR(VLOOKUP(Table5[[#This Row],[HCPCS code 2020Q1]], ASP2020Q1[], 4, FALSE), "")</f>
        <v>2.218</v>
      </c>
      <c r="AQ108" s="77">
        <f>IFERROR(Table5[[#This Row],[Payment Limit 2020Q1]]/Table5[[#This Row],[HCPCS code dosage 2020Q1]], "")</f>
        <v>1.1089999999999999E-2</v>
      </c>
      <c r="AR108" s="133" t="s">
        <v>1242</v>
      </c>
      <c r="AS108" s="130" t="s">
        <v>1670</v>
      </c>
      <c r="AT108" s="130" t="s">
        <v>1470</v>
      </c>
      <c r="AU108" s="132">
        <f>IFERROR(VLOOKUP(Table5[[#This Row],[HCPCS code 2020Q3]], ASP2020Q3[], 4, FALSE), "")</f>
        <v>0.61099999999999999</v>
      </c>
      <c r="AV108" s="72">
        <f>IFERROR(Table5[[#This Row],[Payment limit 2020Q3]]/Table5[[#This Row],[HCPCS code dosage 2020Q3]],"")</f>
        <v>3.055E-3</v>
      </c>
      <c r="AW108" s="144" t="s">
        <v>1242</v>
      </c>
      <c r="AX108" s="118" t="s">
        <v>1670</v>
      </c>
      <c r="AY108" s="144" t="s">
        <v>1470</v>
      </c>
      <c r="AZ108" s="144">
        <f>IFERROR(VLOOKUP(Table5[[#This Row],[HCPCS code 2021Q1]], ASP2021Q1[], 4, FALSE), "")</f>
        <v>2.1920000000000002</v>
      </c>
      <c r="BA108" s="122">
        <f>IFERROR(Table5[[#This Row],[Payment limit 2021Q1]]/Table5[[#This Row],[HCPCS code dosage 2021Q1]], "")</f>
        <v>1.0960000000000001E-2</v>
      </c>
      <c r="BB108" s="147" t="s">
        <v>1242</v>
      </c>
      <c r="BC108" s="118" t="s">
        <v>1670</v>
      </c>
      <c r="BD108" s="144" t="s">
        <v>1470</v>
      </c>
      <c r="BE108" s="144">
        <f>IFERROR(VLOOKUP(Table5[[#This Row],[HCPCS code 2021Q3]], ASP2021Q3[], 4, FALSE), "")</f>
        <v>1.885</v>
      </c>
      <c r="BF108" s="122">
        <f>IFERROR(Table5[[#This Row],[Payment limit 2021Q3]]/Table5[[#This Row],[HCPCS code dosage 2021Q3]], "")</f>
        <v>9.4249999999999994E-3</v>
      </c>
      <c r="BG108" s="147" t="s">
        <v>1242</v>
      </c>
      <c r="BH108" s="118" t="s">
        <v>1670</v>
      </c>
      <c r="BI108" s="144" t="s">
        <v>1470</v>
      </c>
      <c r="BJ108" s="144">
        <f>IFERROR(VLOOKUP(Table5[[#This Row],[HCPCS code 2022Q1]], ASP2022Q1[], 4, FALSE), "")</f>
        <v>1.728</v>
      </c>
      <c r="BK108" s="122">
        <f>IFERROR(Table5[[#This Row],[Payment limit 2022Q1]]/Table5[[#This Row],[HCPCS code dosage 2022Q1]], "")</f>
        <v>8.6400000000000001E-3</v>
      </c>
      <c r="BL108" s="144" t="s">
        <v>1242</v>
      </c>
      <c r="BM108" s="184">
        <v>200</v>
      </c>
      <c r="BN108" s="144" t="s">
        <v>1470</v>
      </c>
      <c r="BO108" s="144">
        <f>IFERROR(VLOOKUP(Table5[[#This Row],[HCPCS Code 2022Q3]], ASP2022Q3[], 4, FALSE), "")</f>
        <v>1.7689999999999999</v>
      </c>
      <c r="BP108" s="122">
        <f>IFERROR(Table5[[#This Row],[Payment limit 2022Q3]]/Table5[[#This Row],[HCPCS code dosage 2022Q3]], "")</f>
        <v>8.8449999999999987E-3</v>
      </c>
      <c r="BQ108" s="144" t="s">
        <v>1242</v>
      </c>
      <c r="BR108" s="118">
        <v>200</v>
      </c>
      <c r="BS108" s="144" t="s">
        <v>1470</v>
      </c>
      <c r="BT108" s="144">
        <v>1.718</v>
      </c>
      <c r="BU108" s="144">
        <f>IFERROR(Table5[[#This Row],[Payment limit 2023Q1]]/Table5[[#This Row],[HCPCS code dosage 2023Q1]], "")</f>
        <v>8.5900000000000004E-3</v>
      </c>
      <c r="BV108" s="79"/>
    </row>
    <row r="109" spans="1:74" x14ac:dyDescent="0.3">
      <c r="A109" s="62" t="s">
        <v>101</v>
      </c>
      <c r="B109" s="286" t="s">
        <v>193</v>
      </c>
      <c r="C109" s="286">
        <v>5</v>
      </c>
      <c r="D109" s="307" t="s">
        <v>1470</v>
      </c>
      <c r="E109" s="292">
        <f>IFERROR(VLOOKUP(Table5[[#This Row],[HCPCS code 2016 Q1]], ASP2016Q1[], 4, FALSE), "")</f>
        <v>0.23100000000000001</v>
      </c>
      <c r="F109" s="303">
        <f>IFERROR(Table5[[#This Row],[Payment Limit 2016Q1]]/Table5[[#This Row],[HCPCS code dosage 2016Q1]], "")</f>
        <v>4.6200000000000005E-2</v>
      </c>
      <c r="G109" s="286" t="s">
        <v>193</v>
      </c>
      <c r="H109" s="286">
        <v>5</v>
      </c>
      <c r="I109" s="307" t="s">
        <v>1470</v>
      </c>
      <c r="J109" s="292">
        <f>IFERROR(VLOOKUP(Table5[[#This Row],[HCPCS code 2016 Q3]], ASP2016Q3[], 4, FALSE), "")</f>
        <v>0.23</v>
      </c>
      <c r="K109" s="303">
        <f>IFERROR(Table5[[#This Row],[Payment Limit 2016Q3]]/Table5[[#This Row],[HCPCS code dosage 2016Q3]], "")</f>
        <v>4.5999999999999999E-2</v>
      </c>
      <c r="L109" s="286" t="s">
        <v>193</v>
      </c>
      <c r="M109" s="286">
        <v>5</v>
      </c>
      <c r="N109" s="307" t="s">
        <v>1470</v>
      </c>
      <c r="O109" s="291">
        <f>IFERROR(VLOOKUP(Table5[[#This Row],[HCPCS code 2017 Q1]], ASP2017Q1[], 4, FALSE), "")</f>
        <v>0.23599999999999999</v>
      </c>
      <c r="P109" s="302">
        <f>IFERROR(Table5[[#This Row],[Payment Limit 2017Q1]]/Table5[[#This Row],[HCPCS code dosage 2017Q1]], "")</f>
        <v>4.7199999999999999E-2</v>
      </c>
      <c r="Q109" s="275" t="s">
        <v>193</v>
      </c>
      <c r="R109" s="275">
        <v>5</v>
      </c>
      <c r="S109" s="275" t="s">
        <v>1470</v>
      </c>
      <c r="T109" s="279">
        <f>IFERROR(VLOOKUP(Table5[[#This Row],[HCPCS code 2017 Q3]], ASP2017Q3[], 4, FALSE), "")</f>
        <v>0.29599999999999999</v>
      </c>
      <c r="U109" s="279">
        <f>IFERROR(Table5[[#This Row],[Payment Limit 2017Q3]]/Table5[[#This Row],[HCPCS code dosage 2017Q3]], "")</f>
        <v>5.9199999999999996E-2</v>
      </c>
      <c r="V109" s="374" t="s">
        <v>193</v>
      </c>
      <c r="W109" s="377">
        <v>5</v>
      </c>
      <c r="X109" s="142" t="s">
        <v>1470</v>
      </c>
      <c r="Y109" s="279">
        <v>0.29099999999999998</v>
      </c>
      <c r="Z109" s="370">
        <f>IFERROR(Table5[[#This Row],[Payment Limit 2018 Q1]]/Table5[[#This Row],[HCPCS code dosage 2018 Q1]],"")</f>
        <v>5.8199999999999995E-2</v>
      </c>
      <c r="AA109" s="374" t="s">
        <v>193</v>
      </c>
      <c r="AB109" s="381">
        <v>5</v>
      </c>
      <c r="AC109" s="142" t="s">
        <v>1470</v>
      </c>
      <c r="AD109" s="378">
        <v>0.245</v>
      </c>
      <c r="AE109" s="370">
        <f>IFERROR(Table5[[#This Row],[Payment Limit 2018 Q3]]/Table5[[#This Row],[HCPCS code dosage 2018 Q3]],"")</f>
        <v>4.9000000000000002E-2</v>
      </c>
      <c r="AF109" s="275" t="s">
        <v>193</v>
      </c>
      <c r="AG109" s="122">
        <v>5.04E-2</v>
      </c>
      <c r="AH109" s="117" t="s">
        <v>193</v>
      </c>
      <c r="AI109" s="118" t="s">
        <v>1666</v>
      </c>
      <c r="AJ109" s="118" t="s">
        <v>1470</v>
      </c>
      <c r="AK109" s="115">
        <f>IFERROR(VLOOKUP(Table5[[#This Row],[HCPCS code 2019Q3]], ASP2019Q3[], 4, FALSE), "")</f>
        <v>0.24</v>
      </c>
      <c r="AL109" s="72">
        <f>IFERROR(Table5[[#This Row],[Payment Limit 2019Q3]]/Table5[[#This Row],[HCPCS code dosage 2019Q3]], "")</f>
        <v>4.8000000000000001E-2</v>
      </c>
      <c r="AM109" s="130" t="s">
        <v>193</v>
      </c>
      <c r="AN109" s="130" t="s">
        <v>1666</v>
      </c>
      <c r="AO109" s="130" t="s">
        <v>1470</v>
      </c>
      <c r="AP109" s="126">
        <f>IFERROR(VLOOKUP(Table5[[#This Row],[HCPCS code 2020Q1]], ASP2020Q1[], 4, FALSE), "")</f>
        <v>0.249</v>
      </c>
      <c r="AQ109" s="77">
        <f>IFERROR(Table5[[#This Row],[Payment Limit 2020Q1]]/Table5[[#This Row],[HCPCS code dosage 2020Q1]], "")</f>
        <v>4.9799999999999997E-2</v>
      </c>
      <c r="AR109" s="133" t="s">
        <v>193</v>
      </c>
      <c r="AS109" s="130" t="s">
        <v>1666</v>
      </c>
      <c r="AT109" s="130" t="s">
        <v>1470</v>
      </c>
      <c r="AU109" s="132">
        <f>IFERROR(VLOOKUP(Table5[[#This Row],[HCPCS code 2020Q3]], ASP2020Q3[], 4, FALSE), "")</f>
        <v>0.21299999999999999</v>
      </c>
      <c r="AV109" s="72">
        <f>IFERROR(Table5[[#This Row],[Payment limit 2020Q3]]/Table5[[#This Row],[HCPCS code dosage 2020Q3]],"")</f>
        <v>4.2599999999999999E-2</v>
      </c>
      <c r="AW109" s="144" t="s">
        <v>193</v>
      </c>
      <c r="AX109" s="118" t="s">
        <v>1666</v>
      </c>
      <c r="AY109" s="144" t="s">
        <v>1470</v>
      </c>
      <c r="AZ109" s="144">
        <f>IFERROR(VLOOKUP(Table5[[#This Row],[HCPCS code 2021Q1]], ASP2021Q1[], 4, FALSE), "")</f>
        <v>0.21</v>
      </c>
      <c r="BA109" s="122">
        <f>IFERROR(Table5[[#This Row],[Payment limit 2021Q1]]/Table5[[#This Row],[HCPCS code dosage 2021Q1]], "")</f>
        <v>4.1999999999999996E-2</v>
      </c>
      <c r="BB109" s="147" t="s">
        <v>193</v>
      </c>
      <c r="BC109" s="118" t="s">
        <v>1666</v>
      </c>
      <c r="BD109" s="144" t="s">
        <v>1470</v>
      </c>
      <c r="BE109" s="144">
        <f>IFERROR(VLOOKUP(Table5[[#This Row],[HCPCS code 2021Q3]], ASP2021Q3[], 4, FALSE), "")</f>
        <v>0.223</v>
      </c>
      <c r="BF109" s="122">
        <f>IFERROR(Table5[[#This Row],[Payment limit 2021Q3]]/Table5[[#This Row],[HCPCS code dosage 2021Q3]], "")</f>
        <v>4.4600000000000001E-2</v>
      </c>
      <c r="BG109" s="147" t="s">
        <v>193</v>
      </c>
      <c r="BH109" s="118" t="s">
        <v>1666</v>
      </c>
      <c r="BI109" s="144" t="s">
        <v>1470</v>
      </c>
      <c r="BJ109" s="144">
        <f>IFERROR(VLOOKUP(Table5[[#This Row],[HCPCS code 2022Q1]], ASP2022Q1[], 4, FALSE), "")</f>
        <v>0.20699999999999999</v>
      </c>
      <c r="BK109" s="122">
        <f>IFERROR(Table5[[#This Row],[Payment limit 2022Q1]]/Table5[[#This Row],[HCPCS code dosage 2022Q1]], "")</f>
        <v>4.1399999999999999E-2</v>
      </c>
      <c r="BL109" s="144" t="s">
        <v>193</v>
      </c>
      <c r="BM109" s="184">
        <v>5</v>
      </c>
      <c r="BN109" s="144" t="s">
        <v>1470</v>
      </c>
      <c r="BO109" s="144">
        <f>IFERROR(VLOOKUP(Table5[[#This Row],[HCPCS Code 2022Q3]], ASP2022Q3[], 4, FALSE), "")</f>
        <v>0.19700000000000001</v>
      </c>
      <c r="BP109" s="122">
        <f>IFERROR(Table5[[#This Row],[Payment limit 2022Q3]]/Table5[[#This Row],[HCPCS code dosage 2022Q3]], "")</f>
        <v>3.9400000000000004E-2</v>
      </c>
      <c r="BQ109" s="144" t="s">
        <v>193</v>
      </c>
      <c r="BR109" s="118">
        <v>5</v>
      </c>
      <c r="BS109" s="144" t="s">
        <v>1470</v>
      </c>
      <c r="BT109" s="144">
        <v>0.219</v>
      </c>
      <c r="BU109" s="144">
        <f>IFERROR(Table5[[#This Row],[Payment limit 2023Q1]]/Table5[[#This Row],[HCPCS code dosage 2023Q1]], "")</f>
        <v>4.3799999999999999E-2</v>
      </c>
      <c r="BV109" s="79"/>
    </row>
    <row r="110" spans="1:74" x14ac:dyDescent="0.3">
      <c r="A110" s="62" t="s">
        <v>3</v>
      </c>
      <c r="B110" s="286" t="s">
        <v>193</v>
      </c>
      <c r="C110" s="286">
        <v>5</v>
      </c>
      <c r="D110" s="307" t="s">
        <v>1470</v>
      </c>
      <c r="E110" s="292">
        <f>IFERROR(VLOOKUP(Table5[[#This Row],[HCPCS code 2016 Q1]], ASP2016Q1[], 4, FALSE), "")</f>
        <v>0.23100000000000001</v>
      </c>
      <c r="F110" s="303">
        <f>IFERROR(Table5[[#This Row],[Payment Limit 2016Q1]]/Table5[[#This Row],[HCPCS code dosage 2016Q1]], "")</f>
        <v>4.6200000000000005E-2</v>
      </c>
      <c r="G110" s="286" t="s">
        <v>193</v>
      </c>
      <c r="H110" s="286">
        <v>5</v>
      </c>
      <c r="I110" s="307" t="s">
        <v>1470</v>
      </c>
      <c r="J110" s="292">
        <f>IFERROR(VLOOKUP(Table5[[#This Row],[HCPCS code 2016 Q3]], ASP2016Q3[], 4, FALSE), "")</f>
        <v>0.23</v>
      </c>
      <c r="K110" s="303">
        <f>IFERROR(Table5[[#This Row],[Payment Limit 2016Q3]]/Table5[[#This Row],[HCPCS code dosage 2016Q3]], "")</f>
        <v>4.5999999999999999E-2</v>
      </c>
      <c r="L110" s="286" t="s">
        <v>193</v>
      </c>
      <c r="M110" s="286">
        <v>5</v>
      </c>
      <c r="N110" s="307" t="s">
        <v>1470</v>
      </c>
      <c r="O110" s="291">
        <f>IFERROR(VLOOKUP(Table5[[#This Row],[HCPCS code 2017 Q1]], ASP2017Q1[], 4, FALSE), "")</f>
        <v>0.23599999999999999</v>
      </c>
      <c r="P110" s="302">
        <f>IFERROR(Table5[[#This Row],[Payment Limit 2017Q1]]/Table5[[#This Row],[HCPCS code dosage 2017Q1]], "")</f>
        <v>4.7199999999999999E-2</v>
      </c>
      <c r="Q110" s="275" t="s">
        <v>193</v>
      </c>
      <c r="R110" s="275">
        <v>5</v>
      </c>
      <c r="S110" s="275" t="s">
        <v>1470</v>
      </c>
      <c r="T110" s="279">
        <f>IFERROR(VLOOKUP(Table5[[#This Row],[HCPCS code 2017 Q3]], ASP2017Q3[], 4, FALSE), "")</f>
        <v>0.29599999999999999</v>
      </c>
      <c r="U110" s="279">
        <f>IFERROR(Table5[[#This Row],[Payment Limit 2017Q3]]/Table5[[#This Row],[HCPCS code dosage 2017Q3]], "")</f>
        <v>5.9199999999999996E-2</v>
      </c>
      <c r="V110" s="374" t="s">
        <v>193</v>
      </c>
      <c r="W110" s="377">
        <v>5</v>
      </c>
      <c r="X110" s="142" t="s">
        <v>1470</v>
      </c>
      <c r="Y110" s="279">
        <v>0.29099999999999998</v>
      </c>
      <c r="Z110" s="370">
        <f>IFERROR(Table5[[#This Row],[Payment Limit 2018 Q1]]/Table5[[#This Row],[HCPCS code dosage 2018 Q1]],"")</f>
        <v>5.8199999999999995E-2</v>
      </c>
      <c r="AA110" s="374" t="s">
        <v>193</v>
      </c>
      <c r="AB110" s="381">
        <v>5</v>
      </c>
      <c r="AC110" s="142" t="s">
        <v>1470</v>
      </c>
      <c r="AD110" s="378">
        <v>0.245</v>
      </c>
      <c r="AE110" s="370">
        <f>IFERROR(Table5[[#This Row],[Payment Limit 2018 Q3]]/Table5[[#This Row],[HCPCS code dosage 2018 Q3]],"")</f>
        <v>4.9000000000000002E-2</v>
      </c>
      <c r="AF110" s="275" t="s">
        <v>193</v>
      </c>
      <c r="AG110" s="122">
        <v>5.04E-2</v>
      </c>
      <c r="AH110" s="117" t="s">
        <v>193</v>
      </c>
      <c r="AI110" s="118" t="s">
        <v>1666</v>
      </c>
      <c r="AJ110" s="118" t="s">
        <v>1470</v>
      </c>
      <c r="AK110" s="115">
        <f>IFERROR(VLOOKUP(Table5[[#This Row],[HCPCS code 2019Q3]], ASP2019Q3[], 4, FALSE), "")</f>
        <v>0.24</v>
      </c>
      <c r="AL110" s="72">
        <f>IFERROR(Table5[[#This Row],[Payment Limit 2019Q3]]/Table5[[#This Row],[HCPCS code dosage 2019Q3]], "")</f>
        <v>4.8000000000000001E-2</v>
      </c>
      <c r="AM110" s="130" t="s">
        <v>193</v>
      </c>
      <c r="AN110" s="130" t="s">
        <v>1666</v>
      </c>
      <c r="AO110" s="130" t="s">
        <v>1470</v>
      </c>
      <c r="AP110" s="126">
        <f>IFERROR(VLOOKUP(Table5[[#This Row],[HCPCS code 2020Q1]], ASP2020Q1[], 4, FALSE), "")</f>
        <v>0.249</v>
      </c>
      <c r="AQ110" s="77">
        <f>IFERROR(Table5[[#This Row],[Payment Limit 2020Q1]]/Table5[[#This Row],[HCPCS code dosage 2020Q1]], "")</f>
        <v>4.9799999999999997E-2</v>
      </c>
      <c r="AR110" s="133" t="s">
        <v>193</v>
      </c>
      <c r="AS110" s="130" t="s">
        <v>1666</v>
      </c>
      <c r="AT110" s="130" t="s">
        <v>1470</v>
      </c>
      <c r="AU110" s="132">
        <f>IFERROR(VLOOKUP(Table5[[#This Row],[HCPCS code 2020Q3]], ASP2020Q3[], 4, FALSE), "")</f>
        <v>0.21299999999999999</v>
      </c>
      <c r="AV110" s="72">
        <f>IFERROR(Table5[[#This Row],[Payment limit 2020Q3]]/Table5[[#This Row],[HCPCS code dosage 2020Q3]],"")</f>
        <v>4.2599999999999999E-2</v>
      </c>
      <c r="AW110" s="144" t="s">
        <v>193</v>
      </c>
      <c r="AX110" s="118" t="s">
        <v>1666</v>
      </c>
      <c r="AY110" s="144" t="s">
        <v>1470</v>
      </c>
      <c r="AZ110" s="144">
        <f>IFERROR(VLOOKUP(Table5[[#This Row],[HCPCS code 2021Q1]], ASP2021Q1[], 4, FALSE), "")</f>
        <v>0.21</v>
      </c>
      <c r="BA110" s="122">
        <f>IFERROR(Table5[[#This Row],[Payment limit 2021Q1]]/Table5[[#This Row],[HCPCS code dosage 2021Q1]], "")</f>
        <v>4.1999999999999996E-2</v>
      </c>
      <c r="BB110" s="147" t="s">
        <v>193</v>
      </c>
      <c r="BC110" s="118" t="s">
        <v>1666</v>
      </c>
      <c r="BD110" s="144" t="s">
        <v>1470</v>
      </c>
      <c r="BE110" s="144">
        <f>IFERROR(VLOOKUP(Table5[[#This Row],[HCPCS code 2021Q3]], ASP2021Q3[], 4, FALSE), "")</f>
        <v>0.223</v>
      </c>
      <c r="BF110" s="122">
        <f>IFERROR(Table5[[#This Row],[Payment limit 2021Q3]]/Table5[[#This Row],[HCPCS code dosage 2021Q3]], "")</f>
        <v>4.4600000000000001E-2</v>
      </c>
      <c r="BG110" s="147" t="s">
        <v>193</v>
      </c>
      <c r="BH110" s="118" t="s">
        <v>1666</v>
      </c>
      <c r="BI110" s="144" t="s">
        <v>1470</v>
      </c>
      <c r="BJ110" s="144">
        <f>IFERROR(VLOOKUP(Table5[[#This Row],[HCPCS code 2022Q1]], ASP2022Q1[], 4, FALSE), "")</f>
        <v>0.20699999999999999</v>
      </c>
      <c r="BK110" s="122">
        <f>IFERROR(Table5[[#This Row],[Payment limit 2022Q1]]/Table5[[#This Row],[HCPCS code dosage 2022Q1]], "")</f>
        <v>4.1399999999999999E-2</v>
      </c>
      <c r="BL110" s="144" t="s">
        <v>193</v>
      </c>
      <c r="BM110" s="184">
        <v>5</v>
      </c>
      <c r="BN110" s="144" t="s">
        <v>1470</v>
      </c>
      <c r="BO110" s="144">
        <f>IFERROR(VLOOKUP(Table5[[#This Row],[HCPCS Code 2022Q3]], ASP2022Q3[], 4, FALSE), "")</f>
        <v>0.19700000000000001</v>
      </c>
      <c r="BP110" s="122">
        <f>IFERROR(Table5[[#This Row],[Payment limit 2022Q3]]/Table5[[#This Row],[HCPCS code dosage 2022Q3]], "")</f>
        <v>3.9400000000000004E-2</v>
      </c>
      <c r="BQ110" s="144" t="s">
        <v>193</v>
      </c>
      <c r="BR110" s="118">
        <v>5</v>
      </c>
      <c r="BS110" s="144" t="s">
        <v>1470</v>
      </c>
      <c r="BT110" s="144">
        <v>0.219</v>
      </c>
      <c r="BU110" s="144">
        <f>IFERROR(Table5[[#This Row],[Payment limit 2023Q1]]/Table5[[#This Row],[HCPCS code dosage 2023Q1]], "")</f>
        <v>4.3799999999999999E-2</v>
      </c>
      <c r="BV110" s="79"/>
    </row>
    <row r="111" spans="1:74" x14ac:dyDescent="0.3">
      <c r="A111" s="62" t="s">
        <v>190</v>
      </c>
      <c r="B111" s="286" t="s">
        <v>487</v>
      </c>
      <c r="C111" s="286">
        <v>20</v>
      </c>
      <c r="D111" s="307" t="s">
        <v>1470</v>
      </c>
      <c r="E111" s="292">
        <f>IFERROR(VLOOKUP(Table5[[#This Row],[HCPCS code 2016 Q1]], ASP2016Q1[], 4, FALSE), "")</f>
        <v>4.4950000000000001</v>
      </c>
      <c r="F111" s="303">
        <f>IFERROR(Table5[[#This Row],[Payment Limit 2016Q1]]/Table5[[#This Row],[HCPCS code dosage 2016Q1]], "")</f>
        <v>0.22475000000000001</v>
      </c>
      <c r="G111" s="286" t="s">
        <v>487</v>
      </c>
      <c r="H111" s="286">
        <v>20</v>
      </c>
      <c r="I111" s="307" t="s">
        <v>1470</v>
      </c>
      <c r="J111" s="292">
        <f>IFERROR(VLOOKUP(Table5[[#This Row],[HCPCS code 2016 Q3]], ASP2016Q3[], 4, FALSE), "")</f>
        <v>4.7539999999999996</v>
      </c>
      <c r="K111" s="303">
        <f>IFERROR(Table5[[#This Row],[Payment Limit 2016Q3]]/Table5[[#This Row],[HCPCS code dosage 2016Q3]], "")</f>
        <v>0.23769999999999997</v>
      </c>
      <c r="L111" s="286" t="s">
        <v>487</v>
      </c>
      <c r="M111" s="286">
        <v>20</v>
      </c>
      <c r="N111" s="307" t="s">
        <v>1470</v>
      </c>
      <c r="O111" s="291">
        <f>IFERROR(VLOOKUP(Table5[[#This Row],[HCPCS code 2017 Q1]], ASP2017Q1[], 4, FALSE), "")</f>
        <v>4.9870000000000001</v>
      </c>
      <c r="P111" s="302">
        <f>IFERROR(Table5[[#This Row],[Payment Limit 2017Q1]]/Table5[[#This Row],[HCPCS code dosage 2017Q1]], "")</f>
        <v>0.24935000000000002</v>
      </c>
      <c r="Q111" s="275" t="s">
        <v>487</v>
      </c>
      <c r="R111" s="275">
        <v>20</v>
      </c>
      <c r="S111" s="275" t="s">
        <v>1470</v>
      </c>
      <c r="T111" s="279">
        <f>IFERROR(VLOOKUP(Table5[[#This Row],[HCPCS code 2017 Q3]], ASP2017Q3[], 4, FALSE), "")</f>
        <v>5.4020000000000001</v>
      </c>
      <c r="U111" s="279">
        <f>IFERROR(Table5[[#This Row],[Payment Limit 2017Q3]]/Table5[[#This Row],[HCPCS code dosage 2017Q3]], "")</f>
        <v>0.27010000000000001</v>
      </c>
      <c r="V111" s="374" t="s">
        <v>487</v>
      </c>
      <c r="W111" s="377">
        <v>20</v>
      </c>
      <c r="X111" s="142" t="s">
        <v>1470</v>
      </c>
      <c r="Y111" s="279">
        <v>5.9450000000000003</v>
      </c>
      <c r="Z111" s="370">
        <f>IFERROR(Table5[[#This Row],[Payment Limit 2018 Q1]]/Table5[[#This Row],[HCPCS code dosage 2018 Q1]],"")</f>
        <v>0.29725000000000001</v>
      </c>
      <c r="AA111" s="374" t="s">
        <v>487</v>
      </c>
      <c r="AB111" s="381">
        <v>20</v>
      </c>
      <c r="AC111" s="142" t="s">
        <v>1470</v>
      </c>
      <c r="AD111" s="378">
        <v>4.1769999999999996</v>
      </c>
      <c r="AE111" s="370">
        <f>IFERROR(Table5[[#This Row],[Payment Limit 2018 Q3]]/Table5[[#This Row],[HCPCS code dosage 2018 Q3]],"")</f>
        <v>0.20884999999999998</v>
      </c>
      <c r="AF111" s="275" t="s">
        <v>487</v>
      </c>
      <c r="AG111" s="122">
        <v>0.20049999999999998</v>
      </c>
      <c r="AH111" s="117" t="s">
        <v>487</v>
      </c>
      <c r="AI111" s="118" t="s">
        <v>1674</v>
      </c>
      <c r="AJ111" s="118" t="s">
        <v>1470</v>
      </c>
      <c r="AK111" s="115">
        <f>IFERROR(VLOOKUP(Table5[[#This Row],[HCPCS code 2019Q3]], ASP2019Q3[], 4, FALSE), "")</f>
        <v>3.661</v>
      </c>
      <c r="AL111" s="72">
        <f>IFERROR(Table5[[#This Row],[Payment Limit 2019Q3]]/Table5[[#This Row],[HCPCS code dosage 2019Q3]], "")</f>
        <v>0.18304999999999999</v>
      </c>
      <c r="AM111" s="130" t="s">
        <v>487</v>
      </c>
      <c r="AN111" s="130" t="s">
        <v>1674</v>
      </c>
      <c r="AO111" s="130" t="s">
        <v>1470</v>
      </c>
      <c r="AP111" s="126">
        <f>IFERROR(VLOOKUP(Table5[[#This Row],[HCPCS code 2020Q1]], ASP2020Q1[], 4, FALSE), "")</f>
        <v>3.6110000000000002</v>
      </c>
      <c r="AQ111" s="77">
        <f>IFERROR(Table5[[#This Row],[Payment Limit 2020Q1]]/Table5[[#This Row],[HCPCS code dosage 2020Q1]], "")</f>
        <v>0.18055000000000002</v>
      </c>
      <c r="AR111" s="133" t="s">
        <v>487</v>
      </c>
      <c r="AS111" s="130" t="s">
        <v>1674</v>
      </c>
      <c r="AT111" s="130" t="s">
        <v>1470</v>
      </c>
      <c r="AU111" s="132">
        <f>IFERROR(VLOOKUP(Table5[[#This Row],[HCPCS code 2020Q3]], ASP2020Q3[], 4, FALSE), "")</f>
        <v>3.6139999999999999</v>
      </c>
      <c r="AV111" s="72">
        <f>IFERROR(Table5[[#This Row],[Payment limit 2020Q3]]/Table5[[#This Row],[HCPCS code dosage 2020Q3]],"")</f>
        <v>0.1807</v>
      </c>
      <c r="AW111" s="144" t="s">
        <v>487</v>
      </c>
      <c r="AX111" s="118" t="s">
        <v>1674</v>
      </c>
      <c r="AY111" s="144" t="s">
        <v>1470</v>
      </c>
      <c r="AZ111" s="144">
        <f>IFERROR(VLOOKUP(Table5[[#This Row],[HCPCS code 2021Q1]], ASP2021Q1[], 4, FALSE), "")</f>
        <v>3.3460000000000001</v>
      </c>
      <c r="BA111" s="122">
        <f>IFERROR(Table5[[#This Row],[Payment limit 2021Q1]]/Table5[[#This Row],[HCPCS code dosage 2021Q1]], "")</f>
        <v>0.1673</v>
      </c>
      <c r="BB111" s="147" t="s">
        <v>487</v>
      </c>
      <c r="BC111" s="118" t="s">
        <v>1674</v>
      </c>
      <c r="BD111" s="144" t="s">
        <v>1470</v>
      </c>
      <c r="BE111" s="144">
        <f>IFERROR(VLOOKUP(Table5[[#This Row],[HCPCS code 2021Q3]], ASP2021Q3[], 4, FALSE), "")</f>
        <v>3.03</v>
      </c>
      <c r="BF111" s="122">
        <f>IFERROR(Table5[[#This Row],[Payment limit 2021Q3]]/Table5[[#This Row],[HCPCS code dosage 2021Q3]], "")</f>
        <v>0.1515</v>
      </c>
      <c r="BG111" s="147" t="s">
        <v>487</v>
      </c>
      <c r="BH111" s="118" t="s">
        <v>1674</v>
      </c>
      <c r="BI111" s="144" t="s">
        <v>1470</v>
      </c>
      <c r="BJ111" s="144">
        <f>IFERROR(VLOOKUP(Table5[[#This Row],[HCPCS code 2022Q1]], ASP2022Q1[], 4, FALSE), "")</f>
        <v>3.5840000000000001</v>
      </c>
      <c r="BK111" s="122">
        <f>IFERROR(Table5[[#This Row],[Payment limit 2022Q1]]/Table5[[#This Row],[HCPCS code dosage 2022Q1]], "")</f>
        <v>0.1792</v>
      </c>
      <c r="BL111" s="144" t="s">
        <v>487</v>
      </c>
      <c r="BM111" s="184">
        <v>20</v>
      </c>
      <c r="BN111" s="144" t="s">
        <v>1470</v>
      </c>
      <c r="BO111" s="144">
        <f>IFERROR(VLOOKUP(Table5[[#This Row],[HCPCS Code 2022Q3]], ASP2022Q3[], 4, FALSE), "")</f>
        <v>4.6109999999999998</v>
      </c>
      <c r="BP111" s="122">
        <f>IFERROR(Table5[[#This Row],[Payment limit 2022Q3]]/Table5[[#This Row],[HCPCS code dosage 2022Q3]], "")</f>
        <v>0.23054999999999998</v>
      </c>
      <c r="BQ111" s="144" t="s">
        <v>487</v>
      </c>
      <c r="BR111" s="118">
        <v>20</v>
      </c>
      <c r="BS111" s="144" t="s">
        <v>1470</v>
      </c>
      <c r="BT111" s="144">
        <v>4.6109999999999998</v>
      </c>
      <c r="BU111" s="144">
        <f>IFERROR(Table5[[#This Row],[Payment limit 2023Q1]]/Table5[[#This Row],[HCPCS code dosage 2023Q1]], "")</f>
        <v>0.23054999999999998</v>
      </c>
      <c r="BV111" s="79"/>
    </row>
    <row r="112" spans="1:74" x14ac:dyDescent="0.3">
      <c r="A112" s="62" t="s">
        <v>140</v>
      </c>
      <c r="B112" s="286" t="s">
        <v>487</v>
      </c>
      <c r="C112" s="286">
        <v>20</v>
      </c>
      <c r="D112" s="307" t="s">
        <v>1470</v>
      </c>
      <c r="E112" s="292">
        <f>IFERROR(VLOOKUP(Table5[[#This Row],[HCPCS code 2016 Q1]], ASP2016Q1[], 4, FALSE), "")</f>
        <v>4.4950000000000001</v>
      </c>
      <c r="F112" s="303">
        <f>IFERROR(Table5[[#This Row],[Payment Limit 2016Q1]]/Table5[[#This Row],[HCPCS code dosage 2016Q1]], "")</f>
        <v>0.22475000000000001</v>
      </c>
      <c r="G112" s="286" t="s">
        <v>487</v>
      </c>
      <c r="H112" s="286">
        <v>20</v>
      </c>
      <c r="I112" s="307" t="s">
        <v>1470</v>
      </c>
      <c r="J112" s="292">
        <f>IFERROR(VLOOKUP(Table5[[#This Row],[HCPCS code 2016 Q3]], ASP2016Q3[], 4, FALSE), "")</f>
        <v>4.7539999999999996</v>
      </c>
      <c r="K112" s="303">
        <f>IFERROR(Table5[[#This Row],[Payment Limit 2016Q3]]/Table5[[#This Row],[HCPCS code dosage 2016Q3]], "")</f>
        <v>0.23769999999999997</v>
      </c>
      <c r="L112" s="286" t="s">
        <v>487</v>
      </c>
      <c r="M112" s="286">
        <v>20</v>
      </c>
      <c r="N112" s="307" t="s">
        <v>1470</v>
      </c>
      <c r="O112" s="291">
        <f>IFERROR(VLOOKUP(Table5[[#This Row],[HCPCS code 2017 Q1]], ASP2017Q1[], 4, FALSE), "")</f>
        <v>4.9870000000000001</v>
      </c>
      <c r="P112" s="302">
        <f>IFERROR(Table5[[#This Row],[Payment Limit 2017Q1]]/Table5[[#This Row],[HCPCS code dosage 2017Q1]], "")</f>
        <v>0.24935000000000002</v>
      </c>
      <c r="Q112" s="275" t="s">
        <v>487</v>
      </c>
      <c r="R112" s="275">
        <v>20</v>
      </c>
      <c r="S112" s="275" t="s">
        <v>1470</v>
      </c>
      <c r="T112" s="279">
        <f>IFERROR(VLOOKUP(Table5[[#This Row],[HCPCS code 2017 Q3]], ASP2017Q3[], 4, FALSE), "")</f>
        <v>5.4020000000000001</v>
      </c>
      <c r="U112" s="279">
        <f>IFERROR(Table5[[#This Row],[Payment Limit 2017Q3]]/Table5[[#This Row],[HCPCS code dosage 2017Q3]], "")</f>
        <v>0.27010000000000001</v>
      </c>
      <c r="V112" s="374" t="s">
        <v>487</v>
      </c>
      <c r="W112" s="377">
        <v>20</v>
      </c>
      <c r="X112" s="142" t="s">
        <v>1470</v>
      </c>
      <c r="Y112" s="279">
        <v>5.9450000000000003</v>
      </c>
      <c r="Z112" s="370">
        <f>IFERROR(Table5[[#This Row],[Payment Limit 2018 Q1]]/Table5[[#This Row],[HCPCS code dosage 2018 Q1]],"")</f>
        <v>0.29725000000000001</v>
      </c>
      <c r="AA112" s="374" t="s">
        <v>487</v>
      </c>
      <c r="AB112" s="381">
        <v>20</v>
      </c>
      <c r="AC112" s="142" t="s">
        <v>1470</v>
      </c>
      <c r="AD112" s="378">
        <v>4.1769999999999996</v>
      </c>
      <c r="AE112" s="370">
        <f>IFERROR(Table5[[#This Row],[Payment Limit 2018 Q3]]/Table5[[#This Row],[HCPCS code dosage 2018 Q3]],"")</f>
        <v>0.20884999999999998</v>
      </c>
      <c r="AF112" s="275" t="s">
        <v>487</v>
      </c>
      <c r="AG112" s="122">
        <v>0.20049999999999998</v>
      </c>
      <c r="AH112" s="117" t="s">
        <v>487</v>
      </c>
      <c r="AI112" s="118" t="s">
        <v>1674</v>
      </c>
      <c r="AJ112" s="118" t="s">
        <v>1470</v>
      </c>
      <c r="AK112" s="115">
        <f>IFERROR(VLOOKUP(Table5[[#This Row],[HCPCS code 2019Q3]], ASP2019Q3[], 4, FALSE), "")</f>
        <v>3.661</v>
      </c>
      <c r="AL112" s="72">
        <f>IFERROR(Table5[[#This Row],[Payment Limit 2019Q3]]/Table5[[#This Row],[HCPCS code dosage 2019Q3]], "")</f>
        <v>0.18304999999999999</v>
      </c>
      <c r="AM112" s="130" t="s">
        <v>487</v>
      </c>
      <c r="AN112" s="130" t="s">
        <v>1674</v>
      </c>
      <c r="AO112" s="130" t="s">
        <v>1470</v>
      </c>
      <c r="AP112" s="126">
        <f>IFERROR(VLOOKUP(Table5[[#This Row],[HCPCS code 2020Q1]], ASP2020Q1[], 4, FALSE), "")</f>
        <v>3.6110000000000002</v>
      </c>
      <c r="AQ112" s="77">
        <f>IFERROR(Table5[[#This Row],[Payment Limit 2020Q1]]/Table5[[#This Row],[HCPCS code dosage 2020Q1]], "")</f>
        <v>0.18055000000000002</v>
      </c>
      <c r="AR112" s="133" t="s">
        <v>487</v>
      </c>
      <c r="AS112" s="130" t="s">
        <v>1674</v>
      </c>
      <c r="AT112" s="130" t="s">
        <v>1470</v>
      </c>
      <c r="AU112" s="132">
        <f>IFERROR(VLOOKUP(Table5[[#This Row],[HCPCS code 2020Q3]], ASP2020Q3[], 4, FALSE), "")</f>
        <v>3.6139999999999999</v>
      </c>
      <c r="AV112" s="72">
        <f>IFERROR(Table5[[#This Row],[Payment limit 2020Q3]]/Table5[[#This Row],[HCPCS code dosage 2020Q3]],"")</f>
        <v>0.1807</v>
      </c>
      <c r="AW112" s="144" t="s">
        <v>487</v>
      </c>
      <c r="AX112" s="118" t="s">
        <v>1674</v>
      </c>
      <c r="AY112" s="144" t="s">
        <v>1470</v>
      </c>
      <c r="AZ112" s="144">
        <f>IFERROR(VLOOKUP(Table5[[#This Row],[HCPCS code 2021Q1]], ASP2021Q1[], 4, FALSE), "")</f>
        <v>3.3460000000000001</v>
      </c>
      <c r="BA112" s="122">
        <f>IFERROR(Table5[[#This Row],[Payment limit 2021Q1]]/Table5[[#This Row],[HCPCS code dosage 2021Q1]], "")</f>
        <v>0.1673</v>
      </c>
      <c r="BB112" s="147" t="s">
        <v>487</v>
      </c>
      <c r="BC112" s="118" t="s">
        <v>1674</v>
      </c>
      <c r="BD112" s="144" t="s">
        <v>1470</v>
      </c>
      <c r="BE112" s="144">
        <f>IFERROR(VLOOKUP(Table5[[#This Row],[HCPCS code 2021Q3]], ASP2021Q3[], 4, FALSE), "")</f>
        <v>3.03</v>
      </c>
      <c r="BF112" s="122">
        <f>IFERROR(Table5[[#This Row],[Payment limit 2021Q3]]/Table5[[#This Row],[HCPCS code dosage 2021Q3]], "")</f>
        <v>0.1515</v>
      </c>
      <c r="BG112" s="147" t="s">
        <v>487</v>
      </c>
      <c r="BH112" s="118" t="s">
        <v>1674</v>
      </c>
      <c r="BI112" s="144" t="s">
        <v>1470</v>
      </c>
      <c r="BJ112" s="144">
        <f>IFERROR(VLOOKUP(Table5[[#This Row],[HCPCS code 2022Q1]], ASP2022Q1[], 4, FALSE), "")</f>
        <v>3.5840000000000001</v>
      </c>
      <c r="BK112" s="122">
        <f>IFERROR(Table5[[#This Row],[Payment limit 2022Q1]]/Table5[[#This Row],[HCPCS code dosage 2022Q1]], "")</f>
        <v>0.1792</v>
      </c>
      <c r="BL112" s="144" t="s">
        <v>487</v>
      </c>
      <c r="BM112" s="184">
        <v>20</v>
      </c>
      <c r="BN112" s="144" t="s">
        <v>1470</v>
      </c>
      <c r="BO112" s="144">
        <f>IFERROR(VLOOKUP(Table5[[#This Row],[HCPCS Code 2022Q3]], ASP2022Q3[], 4, FALSE), "")</f>
        <v>4.6109999999999998</v>
      </c>
      <c r="BP112" s="122">
        <f>IFERROR(Table5[[#This Row],[Payment limit 2022Q3]]/Table5[[#This Row],[HCPCS code dosage 2022Q3]], "")</f>
        <v>0.23054999999999998</v>
      </c>
      <c r="BQ112" s="144" t="s">
        <v>487</v>
      </c>
      <c r="BR112" s="118">
        <v>20</v>
      </c>
      <c r="BS112" s="144" t="s">
        <v>1470</v>
      </c>
      <c r="BT112" s="144">
        <v>4.6109999999999998</v>
      </c>
      <c r="BU112" s="144">
        <f>IFERROR(Table5[[#This Row],[Payment limit 2023Q1]]/Table5[[#This Row],[HCPCS code dosage 2023Q1]], "")</f>
        <v>0.23054999999999998</v>
      </c>
      <c r="BV112" s="79"/>
    </row>
    <row r="113" spans="1:74" x14ac:dyDescent="0.3">
      <c r="A113" s="62" t="s">
        <v>158</v>
      </c>
      <c r="B113" s="286" t="s">
        <v>1060</v>
      </c>
      <c r="C113" s="286">
        <v>4</v>
      </c>
      <c r="D113" s="307" t="s">
        <v>1470</v>
      </c>
      <c r="E113" s="292">
        <f>IFERROR(VLOOKUP(Table5[[#This Row],[HCPCS code 2016 Q1]], ASP2016Q1[], 4, FALSE), "")</f>
        <v>0.32800000000000001</v>
      </c>
      <c r="F113" s="303">
        <f>IFERROR(Table5[[#This Row],[Payment Limit 2016Q1]]/Table5[[#This Row],[HCPCS code dosage 2016Q1]], "")</f>
        <v>8.2000000000000003E-2</v>
      </c>
      <c r="G113" s="286" t="s">
        <v>1060</v>
      </c>
      <c r="H113" s="286">
        <v>4</v>
      </c>
      <c r="I113" s="307" t="s">
        <v>1470</v>
      </c>
      <c r="J113" s="292">
        <f>IFERROR(VLOOKUP(Table5[[#This Row],[HCPCS code 2016 Q3]], ASP2016Q3[], 4, FALSE), "")</f>
        <v>0.309</v>
      </c>
      <c r="K113" s="303">
        <f>IFERROR(Table5[[#This Row],[Payment Limit 2016Q3]]/Table5[[#This Row],[HCPCS code dosage 2016Q3]], "")</f>
        <v>7.7249999999999999E-2</v>
      </c>
      <c r="L113" s="286" t="s">
        <v>1060</v>
      </c>
      <c r="M113" s="286">
        <v>4</v>
      </c>
      <c r="N113" s="307" t="s">
        <v>1470</v>
      </c>
      <c r="O113" s="291">
        <f>IFERROR(VLOOKUP(Table5[[#This Row],[HCPCS code 2017 Q1]], ASP2017Q1[], 4, FALSE), "")</f>
        <v>0.34599999999999997</v>
      </c>
      <c r="P113" s="302">
        <f>IFERROR(Table5[[#This Row],[Payment Limit 2017Q1]]/Table5[[#This Row],[HCPCS code dosage 2017Q1]], "")</f>
        <v>8.6499999999999994E-2</v>
      </c>
      <c r="Q113" s="275" t="s">
        <v>1060</v>
      </c>
      <c r="R113" s="275">
        <v>4</v>
      </c>
      <c r="S113" s="275" t="s">
        <v>1470</v>
      </c>
      <c r="T113" s="279">
        <f>IFERROR(VLOOKUP(Table5[[#This Row],[HCPCS code 2017 Q3]], ASP2017Q3[], 4, FALSE), "")</f>
        <v>0.41199999999999998</v>
      </c>
      <c r="U113" s="279">
        <f>IFERROR(Table5[[#This Row],[Payment Limit 2017Q3]]/Table5[[#This Row],[HCPCS code dosage 2017Q3]], "")</f>
        <v>0.10299999999999999</v>
      </c>
      <c r="V113" s="374" t="s">
        <v>1060</v>
      </c>
      <c r="W113" s="377">
        <v>4</v>
      </c>
      <c r="X113" s="142" t="s">
        <v>1470</v>
      </c>
      <c r="Y113" s="279">
        <v>0.378</v>
      </c>
      <c r="Z113" s="370">
        <f>IFERROR(Table5[[#This Row],[Payment Limit 2018 Q1]]/Table5[[#This Row],[HCPCS code dosage 2018 Q1]],"")</f>
        <v>9.4500000000000001E-2</v>
      </c>
      <c r="AA113" s="374" t="s">
        <v>1060</v>
      </c>
      <c r="AB113" s="381">
        <v>4</v>
      </c>
      <c r="AC113" s="142" t="s">
        <v>1470</v>
      </c>
      <c r="AD113" s="378">
        <v>0.26600000000000001</v>
      </c>
      <c r="AE113" s="370">
        <f>IFERROR(Table5[[#This Row],[Payment Limit 2018 Q3]]/Table5[[#This Row],[HCPCS code dosage 2018 Q3]],"")</f>
        <v>6.6500000000000004E-2</v>
      </c>
      <c r="AF113" s="275" t="s">
        <v>1060</v>
      </c>
      <c r="AG113" s="122">
        <v>9.2249999999999999E-2</v>
      </c>
      <c r="AH113" s="117" t="s">
        <v>1060</v>
      </c>
      <c r="AI113" s="118" t="s">
        <v>1679</v>
      </c>
      <c r="AJ113" s="118" t="s">
        <v>1470</v>
      </c>
      <c r="AK113" s="115">
        <f>IFERROR(VLOOKUP(Table5[[#This Row],[HCPCS code 2019Q3]], ASP2019Q3[], 4, FALSE), "")</f>
        <v>0.24099999999999999</v>
      </c>
      <c r="AL113" s="72">
        <f>IFERROR(Table5[[#This Row],[Payment Limit 2019Q3]]/Table5[[#This Row],[HCPCS code dosage 2019Q3]], "")</f>
        <v>6.0249999999999998E-2</v>
      </c>
      <c r="AM113" s="130" t="s">
        <v>1060</v>
      </c>
      <c r="AN113" s="130" t="s">
        <v>1679</v>
      </c>
      <c r="AO113" s="130" t="s">
        <v>1470</v>
      </c>
      <c r="AP113" s="126">
        <f>IFERROR(VLOOKUP(Table5[[#This Row],[HCPCS code 2020Q1]], ASP2020Q1[], 4, FALSE), "")</f>
        <v>0.35299999999999998</v>
      </c>
      <c r="AQ113" s="77">
        <f>IFERROR(Table5[[#This Row],[Payment Limit 2020Q1]]/Table5[[#This Row],[HCPCS code dosage 2020Q1]], "")</f>
        <v>8.8249999999999995E-2</v>
      </c>
      <c r="AR113" s="133" t="s">
        <v>1060</v>
      </c>
      <c r="AS113" s="130" t="s">
        <v>1679</v>
      </c>
      <c r="AT113" s="130" t="s">
        <v>1470</v>
      </c>
      <c r="AU113" s="132">
        <f>IFERROR(VLOOKUP(Table5[[#This Row],[HCPCS code 2020Q3]], ASP2020Q3[], 4, FALSE), "")</f>
        <v>0.33700000000000002</v>
      </c>
      <c r="AV113" s="72">
        <f>IFERROR(Table5[[#This Row],[Payment limit 2020Q3]]/Table5[[#This Row],[HCPCS code dosage 2020Q3]],"")</f>
        <v>8.4250000000000005E-2</v>
      </c>
      <c r="AW113" s="144" t="s">
        <v>1060</v>
      </c>
      <c r="AX113" s="118" t="s">
        <v>1679</v>
      </c>
      <c r="AY113" s="144" t="s">
        <v>1470</v>
      </c>
      <c r="AZ113" s="144">
        <f>IFERROR(VLOOKUP(Table5[[#This Row],[HCPCS code 2021Q1]], ASP2021Q1[], 4, FALSE), "")</f>
        <v>0.34899999999999998</v>
      </c>
      <c r="BA113" s="122">
        <f>IFERROR(Table5[[#This Row],[Payment limit 2021Q1]]/Table5[[#This Row],[HCPCS code dosage 2021Q1]], "")</f>
        <v>8.7249999999999994E-2</v>
      </c>
      <c r="BB113" s="147" t="s">
        <v>1060</v>
      </c>
      <c r="BC113" s="118" t="s">
        <v>1679</v>
      </c>
      <c r="BD113" s="144" t="s">
        <v>1470</v>
      </c>
      <c r="BE113" s="144">
        <f>IFERROR(VLOOKUP(Table5[[#This Row],[HCPCS code 2021Q3]], ASP2021Q3[], 4, FALSE), "")</f>
        <v>0.27300000000000002</v>
      </c>
      <c r="BF113" s="122">
        <f>IFERROR(Table5[[#This Row],[Payment limit 2021Q3]]/Table5[[#This Row],[HCPCS code dosage 2021Q3]], "")</f>
        <v>6.8250000000000005E-2</v>
      </c>
      <c r="BG113" s="147" t="s">
        <v>1060</v>
      </c>
      <c r="BH113" s="118" t="s">
        <v>1679</v>
      </c>
      <c r="BI113" s="144" t="s">
        <v>1470</v>
      </c>
      <c r="BJ113" s="144">
        <f>IFERROR(VLOOKUP(Table5[[#This Row],[HCPCS code 2022Q1]], ASP2022Q1[], 4, FALSE), "")</f>
        <v>0.252</v>
      </c>
      <c r="BK113" s="122">
        <f>IFERROR(Table5[[#This Row],[Payment limit 2022Q1]]/Table5[[#This Row],[HCPCS code dosage 2022Q1]], "")</f>
        <v>6.3E-2</v>
      </c>
      <c r="BL113" s="144" t="s">
        <v>1060</v>
      </c>
      <c r="BM113" s="184">
        <v>4</v>
      </c>
      <c r="BN113" s="144" t="s">
        <v>1470</v>
      </c>
      <c r="BO113" s="144">
        <f>IFERROR(VLOOKUP(Table5[[#This Row],[HCPCS Code 2022Q3]], ASP2022Q3[], 4, FALSE), "")</f>
        <v>0.27500000000000002</v>
      </c>
      <c r="BP113" s="122">
        <f>IFERROR(Table5[[#This Row],[Payment limit 2022Q3]]/Table5[[#This Row],[HCPCS code dosage 2022Q3]], "")</f>
        <v>6.8750000000000006E-2</v>
      </c>
      <c r="BQ113" s="144" t="s">
        <v>1060</v>
      </c>
      <c r="BR113" s="118">
        <v>4</v>
      </c>
      <c r="BS113" s="144" t="s">
        <v>1470</v>
      </c>
      <c r="BT113" s="144">
        <v>0.254</v>
      </c>
      <c r="BU113" s="144">
        <f>IFERROR(Table5[[#This Row],[Payment limit 2023Q1]]/Table5[[#This Row],[HCPCS code dosage 2023Q1]], "")</f>
        <v>6.3500000000000001E-2</v>
      </c>
      <c r="BV113" s="79"/>
    </row>
    <row r="114" spans="1:74" x14ac:dyDescent="0.3">
      <c r="A114" s="69" t="s">
        <v>1708</v>
      </c>
      <c r="B114" s="273" t="s">
        <v>802</v>
      </c>
      <c r="C114" s="273">
        <v>10</v>
      </c>
      <c r="D114" s="275" t="s">
        <v>1470</v>
      </c>
      <c r="E114" s="280">
        <f>IFERROR(VLOOKUP(Table5[[#This Row],[HCPCS code 2016 Q1]], ASP2016Q1[], 4, FALSE), "")</f>
        <v>0.7</v>
      </c>
      <c r="F114" s="305">
        <f>IFERROR(Table5[[#This Row],[Payment Limit 2016Q1]]/Table5[[#This Row],[HCPCS code dosage 2016Q1]], "")</f>
        <v>6.9999999999999993E-2</v>
      </c>
      <c r="G114" s="273" t="s">
        <v>802</v>
      </c>
      <c r="H114" s="273">
        <v>10</v>
      </c>
      <c r="I114" s="275" t="s">
        <v>1470</v>
      </c>
      <c r="J114" s="280">
        <f>IFERROR(VLOOKUP(Table5[[#This Row],[HCPCS code 2016 Q3]], ASP2016Q3[], 4, FALSE), "")</f>
        <v>0.69299999999999995</v>
      </c>
      <c r="K114" s="305">
        <f>IFERROR(Table5[[#This Row],[Payment Limit 2016Q3]]/Table5[[#This Row],[HCPCS code dosage 2016Q3]], "")</f>
        <v>6.93E-2</v>
      </c>
      <c r="L114" s="273" t="s">
        <v>802</v>
      </c>
      <c r="M114" s="273">
        <v>10</v>
      </c>
      <c r="N114" s="275" t="s">
        <v>1470</v>
      </c>
      <c r="O114" s="291">
        <f>IFERROR(VLOOKUP(Table5[[#This Row],[HCPCS code 2017 Q1]], ASP2017Q1[], 4, FALSE), "")</f>
        <v>0.84799999999999998</v>
      </c>
      <c r="P114" s="302">
        <f>IFERROR(Table5[[#This Row],[Payment Limit 2017Q1]]/Table5[[#This Row],[HCPCS code dosage 2017Q1]], "")</f>
        <v>8.48E-2</v>
      </c>
      <c r="Q114" s="275" t="s">
        <v>802</v>
      </c>
      <c r="R114" s="275">
        <v>10</v>
      </c>
      <c r="S114" s="275" t="s">
        <v>1470</v>
      </c>
      <c r="T114" s="280">
        <f>IFERROR(VLOOKUP(Table5[[#This Row],[HCPCS code 2017 Q3]], ASP2017Q3[], 4, FALSE), "")</f>
        <v>0.89900000000000002</v>
      </c>
      <c r="U114" s="280">
        <f>IFERROR(Table5[[#This Row],[Payment Limit 2017Q3]]/Table5[[#This Row],[HCPCS code dosage 2017Q3]], "")</f>
        <v>8.9900000000000008E-2</v>
      </c>
      <c r="V114" s="374" t="s">
        <v>802</v>
      </c>
      <c r="W114" s="377">
        <v>10</v>
      </c>
      <c r="X114" s="142" t="s">
        <v>1470</v>
      </c>
      <c r="Y114" s="280">
        <v>0.92700000000000005</v>
      </c>
      <c r="Z114" s="305">
        <f>IFERROR(Table5[[#This Row],[Payment Limit 2018 Q1]]/Table5[[#This Row],[HCPCS code dosage 2018 Q1]],"")</f>
        <v>9.2700000000000005E-2</v>
      </c>
      <c r="AA114" s="374" t="s">
        <v>802</v>
      </c>
      <c r="AB114" s="381">
        <v>10</v>
      </c>
      <c r="AC114" s="142" t="s">
        <v>1470</v>
      </c>
      <c r="AD114" s="378">
        <v>0.85299999999999998</v>
      </c>
      <c r="AE114" s="305">
        <f>IFERROR(Table5[[#This Row],[Payment Limit 2018 Q3]]/Table5[[#This Row],[HCPCS code dosage 2018 Q3]],"")</f>
        <v>8.5300000000000001E-2</v>
      </c>
      <c r="AF114" s="273" t="s">
        <v>802</v>
      </c>
      <c r="AG114" s="122">
        <v>0.19209999999999999</v>
      </c>
      <c r="AH114" s="117" t="s">
        <v>802</v>
      </c>
      <c r="AI114" s="118">
        <v>10</v>
      </c>
      <c r="AJ114" s="118" t="s">
        <v>1470</v>
      </c>
      <c r="AK114" s="115">
        <f>IFERROR(VLOOKUP(Table5[[#This Row],[HCPCS code 2019Q3]], ASP2019Q3[], 4, FALSE), "")</f>
        <v>1.25</v>
      </c>
      <c r="AL114" s="72">
        <f>IFERROR(Table5[[#This Row],[Payment Limit 2019Q3]]/Table5[[#This Row],[HCPCS code dosage 2019Q3]], "")</f>
        <v>0.125</v>
      </c>
      <c r="AM114" s="130" t="s">
        <v>802</v>
      </c>
      <c r="AN114" s="130">
        <v>10</v>
      </c>
      <c r="AO114" s="130" t="s">
        <v>1470</v>
      </c>
      <c r="AP114" s="126">
        <f>IFERROR(VLOOKUP(Table5[[#This Row],[HCPCS code 2020Q1]], ASP2020Q1[], 4, FALSE), "")</f>
        <v>1.202</v>
      </c>
      <c r="AQ114" s="77">
        <f>IFERROR(Table5[[#This Row],[Payment Limit 2020Q1]]/Table5[[#This Row],[HCPCS code dosage 2020Q1]], "")</f>
        <v>0.1202</v>
      </c>
      <c r="AR114" s="133" t="s">
        <v>802</v>
      </c>
      <c r="AS114" s="130">
        <v>10</v>
      </c>
      <c r="AT114" s="130" t="s">
        <v>1470</v>
      </c>
      <c r="AU114" s="132">
        <f>IFERROR(VLOOKUP(Table5[[#This Row],[HCPCS code 2020Q3]], ASP2020Q3[], 4, FALSE), "")</f>
        <v>1.232</v>
      </c>
      <c r="AV114" s="72">
        <f>IFERROR(Table5[[#This Row],[Payment limit 2020Q3]]/Table5[[#This Row],[HCPCS code dosage 2020Q3]],"")</f>
        <v>0.1232</v>
      </c>
      <c r="AW114" s="144" t="s">
        <v>802</v>
      </c>
      <c r="AX114" s="118">
        <v>10</v>
      </c>
      <c r="AY114" s="144" t="s">
        <v>1470</v>
      </c>
      <c r="AZ114" s="144">
        <f>IFERROR(VLOOKUP(Table5[[#This Row],[HCPCS code 2021Q1]], ASP2021Q1[], 4, FALSE), "")</f>
        <v>1.0840000000000001</v>
      </c>
      <c r="BA114" s="122">
        <f>IFERROR(Table5[[#This Row],[Payment limit 2021Q1]]/Table5[[#This Row],[HCPCS code dosage 2021Q1]], "")</f>
        <v>0.10840000000000001</v>
      </c>
      <c r="BB114" s="147" t="s">
        <v>802</v>
      </c>
      <c r="BC114" s="118">
        <v>10</v>
      </c>
      <c r="BD114" s="144" t="s">
        <v>1470</v>
      </c>
      <c r="BE114" s="144">
        <f>IFERROR(VLOOKUP(Table5[[#This Row],[HCPCS code 2021Q3]], ASP2021Q3[], 4, FALSE), "")</f>
        <v>1.123</v>
      </c>
      <c r="BF114" s="122">
        <f>IFERROR(Table5[[#This Row],[Payment limit 2021Q3]]/Table5[[#This Row],[HCPCS code dosage 2021Q3]], "")</f>
        <v>0.1123</v>
      </c>
      <c r="BG114" s="147" t="s">
        <v>802</v>
      </c>
      <c r="BH114" s="118">
        <v>10</v>
      </c>
      <c r="BI114" s="144" t="s">
        <v>1470</v>
      </c>
      <c r="BJ114" s="144">
        <f>IFERROR(VLOOKUP(Table5[[#This Row],[HCPCS code 2022Q1]], ASP2022Q1[], 4, FALSE), "")</f>
        <v>1.071</v>
      </c>
      <c r="BK114" s="122">
        <f>IFERROR(Table5[[#This Row],[Payment limit 2022Q1]]/Table5[[#This Row],[HCPCS code dosage 2022Q1]], "")</f>
        <v>0.1071</v>
      </c>
      <c r="BL114" s="144" t="s">
        <v>802</v>
      </c>
      <c r="BM114" s="184">
        <v>10</v>
      </c>
      <c r="BN114" s="144" t="s">
        <v>1470</v>
      </c>
      <c r="BO114" s="144">
        <f>IFERROR(VLOOKUP(Table5[[#This Row],[HCPCS Code 2022Q3]], ASP2022Q3[], 4, FALSE), "")</f>
        <v>1.05</v>
      </c>
      <c r="BP114" s="122">
        <f>IFERROR(Table5[[#This Row],[Payment limit 2022Q3]]/Table5[[#This Row],[HCPCS code dosage 2022Q3]], "")</f>
        <v>0.10500000000000001</v>
      </c>
      <c r="BQ114" s="144" t="s">
        <v>802</v>
      </c>
      <c r="BR114" s="118">
        <v>10</v>
      </c>
      <c r="BS114" s="144" t="s">
        <v>1470</v>
      </c>
      <c r="BT114" s="144">
        <v>1.1020000000000001</v>
      </c>
      <c r="BU114" s="144">
        <f>IFERROR(Table5[[#This Row],[Payment limit 2023Q1]]/Table5[[#This Row],[HCPCS code dosage 2023Q1]], "")</f>
        <v>0.11020000000000001</v>
      </c>
      <c r="BV114" s="79"/>
    </row>
    <row r="115" spans="1:74" x14ac:dyDescent="0.3">
      <c r="A115" s="194" t="s">
        <v>2163</v>
      </c>
      <c r="B115" s="287" t="s">
        <v>1281</v>
      </c>
      <c r="C115" s="287">
        <v>5</v>
      </c>
      <c r="D115" s="308" t="s">
        <v>1470</v>
      </c>
      <c r="E115" s="293">
        <f>IFERROR(VLOOKUP(Table5[[#This Row],[HCPCS code 2016 Q1]], ASP2016Q1[], 4, FALSE), "")</f>
        <v>107.60299999999999</v>
      </c>
      <c r="F115" s="304">
        <f>IFERROR(Table5[[#This Row],[Payment Limit 2016Q1]]/Table5[[#This Row],[HCPCS code dosage 2016Q1]], "")</f>
        <v>21.520599999999998</v>
      </c>
      <c r="G115" s="287" t="s">
        <v>1281</v>
      </c>
      <c r="H115" s="287">
        <v>5</v>
      </c>
      <c r="I115" s="308" t="s">
        <v>1470</v>
      </c>
      <c r="J115" s="293">
        <f>IFERROR(VLOOKUP(Table5[[#This Row],[HCPCS code 2016 Q3]], ASP2016Q3[], 4, FALSE), "")</f>
        <v>98.207999999999998</v>
      </c>
      <c r="K115" s="304">
        <f>IFERROR(Table5[[#This Row],[Payment Limit 2016Q3]]/Table5[[#This Row],[HCPCS code dosage 2016Q3]], "")</f>
        <v>19.6416</v>
      </c>
      <c r="L115" s="287" t="s">
        <v>1281</v>
      </c>
      <c r="M115" s="287">
        <v>5</v>
      </c>
      <c r="N115" s="308" t="s">
        <v>1470</v>
      </c>
      <c r="O115" s="291">
        <f>IFERROR(VLOOKUP(Table5[[#This Row],[HCPCS code 2017 Q1]], ASP2017Q1[], 4, FALSE), "")</f>
        <v>104.81399999999999</v>
      </c>
      <c r="P115" s="302">
        <f>IFERROR(Table5[[#This Row],[Payment Limit 2017Q1]]/Table5[[#This Row],[HCPCS code dosage 2017Q1]], "")</f>
        <v>20.962799999999998</v>
      </c>
      <c r="Q115" s="142" t="s">
        <v>1281</v>
      </c>
      <c r="R115" s="142">
        <v>5</v>
      </c>
      <c r="S115" s="275" t="s">
        <v>1470</v>
      </c>
      <c r="T115" s="279">
        <f>IFERROR(VLOOKUP(Table5[[#This Row],[HCPCS code 2017 Q3]], ASP2017Q3[], 4, FALSE), "")</f>
        <v>121.453</v>
      </c>
      <c r="U115" s="279">
        <f>IFERROR(Table5[[#This Row],[Payment Limit 2017Q3]]/Table5[[#This Row],[HCPCS code dosage 2017Q3]], "")</f>
        <v>24.290600000000001</v>
      </c>
      <c r="V115" s="374" t="s">
        <v>1281</v>
      </c>
      <c r="W115" s="377">
        <v>5</v>
      </c>
      <c r="X115" s="142" t="s">
        <v>1470</v>
      </c>
      <c r="Y115" s="279">
        <v>140.81100000000001</v>
      </c>
      <c r="Z115" s="370">
        <f>IFERROR(Table5[[#This Row],[Payment Limit 2018 Q1]]/Table5[[#This Row],[HCPCS code dosage 2018 Q1]],"")</f>
        <v>28.162200000000002</v>
      </c>
      <c r="AA115" s="374" t="s">
        <v>1281</v>
      </c>
      <c r="AB115" s="381">
        <v>5</v>
      </c>
      <c r="AC115" s="142" t="s">
        <v>1470</v>
      </c>
      <c r="AD115" s="378">
        <v>144.07599999999999</v>
      </c>
      <c r="AE115" s="370">
        <f>IFERROR(Table5[[#This Row],[Payment Limit 2018 Q3]]/Table5[[#This Row],[HCPCS code dosage 2018 Q3]],"")</f>
        <v>28.815199999999997</v>
      </c>
      <c r="AF115" s="142" t="s">
        <v>1281</v>
      </c>
      <c r="AG115" s="122">
        <v>25.01</v>
      </c>
      <c r="AH115" s="117" t="s">
        <v>1281</v>
      </c>
      <c r="AI115" s="118" t="s">
        <v>1666</v>
      </c>
      <c r="AJ115" s="118" t="s">
        <v>1470</v>
      </c>
      <c r="AK115" s="139">
        <f>IFERROR(VLOOKUP(Table5[[#This Row],[HCPCS code 2019Q3]], ASP2019Q3[], 4, FALSE), "")</f>
        <v>100.376</v>
      </c>
      <c r="AL115" s="72">
        <f>IFERROR(Table5[[#This Row],[Payment Limit 2019Q3]]/Table5[[#This Row],[HCPCS code dosage 2019Q3]], "")</f>
        <v>20.075200000000002</v>
      </c>
      <c r="AM115" s="130" t="s">
        <v>1281</v>
      </c>
      <c r="AN115" s="130" t="s">
        <v>1666</v>
      </c>
      <c r="AO115" s="130" t="s">
        <v>1470</v>
      </c>
      <c r="AP115" s="126">
        <f>IFERROR(VLOOKUP(Table5[[#This Row],[HCPCS code 2020Q1]], ASP2020Q1[], 4, FALSE), "")</f>
        <v>79.888999999999996</v>
      </c>
      <c r="AQ115" s="77">
        <f>IFERROR(Table5[[#This Row],[Payment Limit 2020Q1]]/Table5[[#This Row],[HCPCS code dosage 2020Q1]], "")</f>
        <v>15.977799999999998</v>
      </c>
      <c r="AR115" s="133" t="s">
        <v>1281</v>
      </c>
      <c r="AS115" s="130" t="s">
        <v>1666</v>
      </c>
      <c r="AT115" s="130" t="s">
        <v>1470</v>
      </c>
      <c r="AU115" s="132">
        <f>IFERROR(VLOOKUP(Table5[[#This Row],[HCPCS code 2020Q3]], ASP2020Q3[], 4, FALSE), "")</f>
        <v>57.212000000000003</v>
      </c>
      <c r="AV115" s="72">
        <f>IFERROR(Table5[[#This Row],[Payment limit 2020Q3]]/Table5[[#This Row],[HCPCS code dosage 2020Q3]],"")</f>
        <v>11.442400000000001</v>
      </c>
      <c r="AW115" s="144" t="s">
        <v>1281</v>
      </c>
      <c r="AX115" s="118" t="s">
        <v>1666</v>
      </c>
      <c r="AY115" s="144" t="s">
        <v>1470</v>
      </c>
      <c r="AZ115" s="144">
        <f>IFERROR(VLOOKUP(Table5[[#This Row],[HCPCS code 2021Q1]], ASP2021Q1[], 4, FALSE), "")</f>
        <v>54.238</v>
      </c>
      <c r="BA115" s="122">
        <f>IFERROR(Table5[[#This Row],[Payment limit 2021Q1]]/Table5[[#This Row],[HCPCS code dosage 2021Q1]], "")</f>
        <v>10.8476</v>
      </c>
      <c r="BB115" s="147" t="s">
        <v>1281</v>
      </c>
      <c r="BC115" s="118" t="s">
        <v>1666</v>
      </c>
      <c r="BD115" s="144" t="s">
        <v>1470</v>
      </c>
      <c r="BE115" s="144">
        <f>IFERROR(VLOOKUP(Table5[[#This Row],[HCPCS code 2021Q3]], ASP2021Q3[], 4, FALSE), "")</f>
        <v>44.381999999999998</v>
      </c>
      <c r="BF115" s="122">
        <f>IFERROR(Table5[[#This Row],[Payment limit 2021Q3]]/Table5[[#This Row],[HCPCS code dosage 2021Q3]], "")</f>
        <v>8.8764000000000003</v>
      </c>
      <c r="BG115" s="147" t="s">
        <v>1281</v>
      </c>
      <c r="BH115" s="118" t="s">
        <v>1666</v>
      </c>
      <c r="BI115" s="144" t="s">
        <v>1470</v>
      </c>
      <c r="BJ115" s="144">
        <f>IFERROR(VLOOKUP(Table5[[#This Row],[HCPCS code 2022Q1]], ASP2022Q1[], 4, FALSE), "")</f>
        <v>50.662999999999997</v>
      </c>
      <c r="BK115" s="122">
        <f>IFERROR(Table5[[#This Row],[Payment limit 2022Q1]]/Table5[[#This Row],[HCPCS code dosage 2022Q1]], "")</f>
        <v>10.1326</v>
      </c>
      <c r="BL115" s="144" t="s">
        <v>1281</v>
      </c>
      <c r="BM115" s="184">
        <v>5</v>
      </c>
      <c r="BN115" s="144" t="s">
        <v>1470</v>
      </c>
      <c r="BO115" s="144">
        <f>IFERROR(VLOOKUP(Table5[[#This Row],[HCPCS Code 2022Q3]], ASP2022Q3[], 4, FALSE), "")</f>
        <v>47.16</v>
      </c>
      <c r="BP115" s="122">
        <f>IFERROR(Table5[[#This Row],[Payment limit 2022Q3]]/Table5[[#This Row],[HCPCS code dosage 2022Q3]], "")</f>
        <v>9.4319999999999986</v>
      </c>
      <c r="BQ115" s="144" t="s">
        <v>1281</v>
      </c>
      <c r="BR115" s="118">
        <v>5</v>
      </c>
      <c r="BS115" s="144" t="s">
        <v>1470</v>
      </c>
      <c r="BT115" s="144">
        <v>44.47</v>
      </c>
      <c r="BU115" s="144">
        <f>IFERROR(Table5[[#This Row],[Payment limit 2023Q1]]/Table5[[#This Row],[HCPCS code dosage 2023Q1]], "")</f>
        <v>8.8940000000000001</v>
      </c>
      <c r="BV115" s="79"/>
    </row>
    <row r="116" spans="1:74" x14ac:dyDescent="0.3">
      <c r="A116" s="62" t="s">
        <v>147</v>
      </c>
      <c r="B116" s="286" t="s">
        <v>1281</v>
      </c>
      <c r="C116" s="286">
        <v>5</v>
      </c>
      <c r="D116" s="307" t="s">
        <v>1470</v>
      </c>
      <c r="E116" s="292">
        <f>IFERROR(VLOOKUP(Table5[[#This Row],[HCPCS code 2016 Q1]], ASP2016Q1[], 4, FALSE), "")</f>
        <v>107.60299999999999</v>
      </c>
      <c r="F116" s="303">
        <f>IFERROR(Table5[[#This Row],[Payment Limit 2016Q1]]/Table5[[#This Row],[HCPCS code dosage 2016Q1]], "")</f>
        <v>21.520599999999998</v>
      </c>
      <c r="G116" s="286" t="s">
        <v>1281</v>
      </c>
      <c r="H116" s="286">
        <v>5</v>
      </c>
      <c r="I116" s="307" t="s">
        <v>1470</v>
      </c>
      <c r="J116" s="292">
        <f>IFERROR(VLOOKUP(Table5[[#This Row],[HCPCS code 2016 Q3]], ASP2016Q3[], 4, FALSE), "")</f>
        <v>98.207999999999998</v>
      </c>
      <c r="K116" s="303">
        <f>IFERROR(Table5[[#This Row],[Payment Limit 2016Q3]]/Table5[[#This Row],[HCPCS code dosage 2016Q3]], "")</f>
        <v>19.6416</v>
      </c>
      <c r="L116" s="286" t="s">
        <v>1281</v>
      </c>
      <c r="M116" s="286">
        <v>5</v>
      </c>
      <c r="N116" s="307" t="s">
        <v>1470</v>
      </c>
      <c r="O116" s="291">
        <f>IFERROR(VLOOKUP(Table5[[#This Row],[HCPCS code 2017 Q1]], ASP2017Q1[], 4, FALSE), "")</f>
        <v>104.81399999999999</v>
      </c>
      <c r="P116" s="302">
        <f>IFERROR(Table5[[#This Row],[Payment Limit 2017Q1]]/Table5[[#This Row],[HCPCS code dosage 2017Q1]], "")</f>
        <v>20.962799999999998</v>
      </c>
      <c r="Q116" s="275" t="s">
        <v>1281</v>
      </c>
      <c r="R116" s="275">
        <v>5</v>
      </c>
      <c r="S116" s="275" t="s">
        <v>1470</v>
      </c>
      <c r="T116" s="279">
        <f>IFERROR(VLOOKUP(Table5[[#This Row],[HCPCS code 2017 Q3]], ASP2017Q3[], 4, FALSE), "")</f>
        <v>121.453</v>
      </c>
      <c r="U116" s="279">
        <f>IFERROR(Table5[[#This Row],[Payment Limit 2017Q3]]/Table5[[#This Row],[HCPCS code dosage 2017Q3]], "")</f>
        <v>24.290600000000001</v>
      </c>
      <c r="V116" s="374" t="s">
        <v>1281</v>
      </c>
      <c r="W116" s="377">
        <v>5</v>
      </c>
      <c r="X116" s="142" t="s">
        <v>1470</v>
      </c>
      <c r="Y116" s="279">
        <v>140.81100000000001</v>
      </c>
      <c r="Z116" s="370">
        <f>IFERROR(Table5[[#This Row],[Payment Limit 2018 Q1]]/Table5[[#This Row],[HCPCS code dosage 2018 Q1]],"")</f>
        <v>28.162200000000002</v>
      </c>
      <c r="AA116" s="374" t="s">
        <v>1281</v>
      </c>
      <c r="AB116" s="381">
        <v>5</v>
      </c>
      <c r="AC116" s="142" t="s">
        <v>1470</v>
      </c>
      <c r="AD116" s="378">
        <v>144.07599999999999</v>
      </c>
      <c r="AE116" s="370">
        <f>IFERROR(Table5[[#This Row],[Payment Limit 2018 Q3]]/Table5[[#This Row],[HCPCS code dosage 2018 Q3]],"")</f>
        <v>28.815199999999997</v>
      </c>
      <c r="AF116" s="275" t="s">
        <v>1281</v>
      </c>
      <c r="AG116" s="122">
        <v>25.014599999999998</v>
      </c>
      <c r="AH116" s="117" t="s">
        <v>1281</v>
      </c>
      <c r="AI116" s="118" t="s">
        <v>1666</v>
      </c>
      <c r="AJ116" s="118" t="s">
        <v>1470</v>
      </c>
      <c r="AK116" s="115">
        <f>IFERROR(VLOOKUP(Table5[[#This Row],[HCPCS code 2019Q3]], ASP2019Q3[], 4, FALSE), "")</f>
        <v>100.376</v>
      </c>
      <c r="AL116" s="72">
        <f>IFERROR(Table5[[#This Row],[Payment Limit 2019Q3]]/Table5[[#This Row],[HCPCS code dosage 2019Q3]], "")</f>
        <v>20.075200000000002</v>
      </c>
      <c r="AM116" s="130" t="s">
        <v>1281</v>
      </c>
      <c r="AN116" s="130" t="s">
        <v>1666</v>
      </c>
      <c r="AO116" s="130" t="s">
        <v>1470</v>
      </c>
      <c r="AP116" s="126">
        <f>IFERROR(VLOOKUP(Table5[[#This Row],[HCPCS code 2020Q1]], ASP2020Q1[], 4, FALSE), "")</f>
        <v>79.888999999999996</v>
      </c>
      <c r="AQ116" s="77">
        <f>IFERROR(Table5[[#This Row],[Payment Limit 2020Q1]]/Table5[[#This Row],[HCPCS code dosage 2020Q1]], "")</f>
        <v>15.977799999999998</v>
      </c>
      <c r="AR116" s="133" t="s">
        <v>1281</v>
      </c>
      <c r="AS116" s="130" t="s">
        <v>1666</v>
      </c>
      <c r="AT116" s="130" t="s">
        <v>1470</v>
      </c>
      <c r="AU116" s="132">
        <f>IFERROR(VLOOKUP(Table5[[#This Row],[HCPCS code 2020Q3]], ASP2020Q3[], 4, FALSE), "")</f>
        <v>57.212000000000003</v>
      </c>
      <c r="AV116" s="72">
        <f>IFERROR(Table5[[#This Row],[Payment limit 2020Q3]]/Table5[[#This Row],[HCPCS code dosage 2020Q3]],"")</f>
        <v>11.442400000000001</v>
      </c>
      <c r="AW116" s="144" t="s">
        <v>1281</v>
      </c>
      <c r="AX116" s="118" t="s">
        <v>1666</v>
      </c>
      <c r="AY116" s="144" t="s">
        <v>1470</v>
      </c>
      <c r="AZ116" s="144">
        <f>IFERROR(VLOOKUP(Table5[[#This Row],[HCPCS code 2021Q1]], ASP2021Q1[], 4, FALSE), "")</f>
        <v>54.238</v>
      </c>
      <c r="BA116" s="122">
        <f>IFERROR(Table5[[#This Row],[Payment limit 2021Q1]]/Table5[[#This Row],[HCPCS code dosage 2021Q1]], "")</f>
        <v>10.8476</v>
      </c>
      <c r="BB116" s="147" t="s">
        <v>1281</v>
      </c>
      <c r="BC116" s="118" t="s">
        <v>1666</v>
      </c>
      <c r="BD116" s="144" t="s">
        <v>1470</v>
      </c>
      <c r="BE116" s="144">
        <f>IFERROR(VLOOKUP(Table5[[#This Row],[HCPCS code 2021Q3]], ASP2021Q3[], 4, FALSE), "")</f>
        <v>44.381999999999998</v>
      </c>
      <c r="BF116" s="122">
        <f>IFERROR(Table5[[#This Row],[Payment limit 2021Q3]]/Table5[[#This Row],[HCPCS code dosage 2021Q3]], "")</f>
        <v>8.8764000000000003</v>
      </c>
      <c r="BG116" s="147" t="s">
        <v>1281</v>
      </c>
      <c r="BH116" s="118" t="s">
        <v>1666</v>
      </c>
      <c r="BI116" s="144" t="s">
        <v>1470</v>
      </c>
      <c r="BJ116" s="144">
        <f>IFERROR(VLOOKUP(Table5[[#This Row],[HCPCS code 2022Q1]], ASP2022Q1[], 4, FALSE), "")</f>
        <v>50.662999999999997</v>
      </c>
      <c r="BK116" s="122">
        <f>IFERROR(Table5[[#This Row],[Payment limit 2022Q1]]/Table5[[#This Row],[HCPCS code dosage 2022Q1]], "")</f>
        <v>10.1326</v>
      </c>
      <c r="BL116" s="144" t="s">
        <v>1281</v>
      </c>
      <c r="BM116" s="184">
        <v>5</v>
      </c>
      <c r="BN116" s="144" t="s">
        <v>1470</v>
      </c>
      <c r="BO116" s="144">
        <f>IFERROR(VLOOKUP(Table5[[#This Row],[HCPCS Code 2022Q3]], ASP2022Q3[], 4, FALSE), "")</f>
        <v>47.16</v>
      </c>
      <c r="BP116" s="122">
        <f>IFERROR(Table5[[#This Row],[Payment limit 2022Q3]]/Table5[[#This Row],[HCPCS code dosage 2022Q3]], "")</f>
        <v>9.4319999999999986</v>
      </c>
      <c r="BQ116" s="144" t="s">
        <v>1281</v>
      </c>
      <c r="BR116" s="118">
        <v>5</v>
      </c>
      <c r="BS116" s="144" t="s">
        <v>1470</v>
      </c>
      <c r="BT116" s="144">
        <v>44.47</v>
      </c>
      <c r="BU116" s="144">
        <f>IFERROR(Table5[[#This Row],[Payment limit 2023Q1]]/Table5[[#This Row],[HCPCS code dosage 2023Q1]], "")</f>
        <v>8.8940000000000001</v>
      </c>
      <c r="BV116" s="79"/>
    </row>
    <row r="117" spans="1:74" x14ac:dyDescent="0.3">
      <c r="A117" s="62" t="s">
        <v>60</v>
      </c>
      <c r="B117" s="286" t="s">
        <v>1285</v>
      </c>
      <c r="C117" s="286">
        <v>5</v>
      </c>
      <c r="D117" s="307" t="s">
        <v>1470</v>
      </c>
      <c r="E117" s="292">
        <f>IFERROR(VLOOKUP(Table5[[#This Row],[HCPCS code 2016 Q1]], ASP2016Q1[], 4, FALSE), "")</f>
        <v>27.366</v>
      </c>
      <c r="F117" s="303">
        <f>IFERROR(Table5[[#This Row],[Payment Limit 2016Q1]]/Table5[[#This Row],[HCPCS code dosage 2016Q1]], "")</f>
        <v>5.4732000000000003</v>
      </c>
      <c r="G117" s="286" t="s">
        <v>1285</v>
      </c>
      <c r="H117" s="286">
        <v>5</v>
      </c>
      <c r="I117" s="307" t="s">
        <v>1470</v>
      </c>
      <c r="J117" s="292">
        <f>IFERROR(VLOOKUP(Table5[[#This Row],[HCPCS code 2016 Q3]], ASP2016Q3[], 4, FALSE), "")</f>
        <v>36.31</v>
      </c>
      <c r="K117" s="303">
        <f>IFERROR(Table5[[#This Row],[Payment Limit 2016Q3]]/Table5[[#This Row],[HCPCS code dosage 2016Q3]], "")</f>
        <v>7.2620000000000005</v>
      </c>
      <c r="L117" s="286" t="s">
        <v>1285</v>
      </c>
      <c r="M117" s="286">
        <v>5</v>
      </c>
      <c r="N117" s="307" t="s">
        <v>1470</v>
      </c>
      <c r="O117" s="291">
        <f>IFERROR(VLOOKUP(Table5[[#This Row],[HCPCS code 2017 Q1]], ASP2017Q1[], 4, FALSE), "")</f>
        <v>39.536000000000001</v>
      </c>
      <c r="P117" s="302">
        <f>IFERROR(Table5[[#This Row],[Payment Limit 2017Q1]]/Table5[[#This Row],[HCPCS code dosage 2017Q1]], "")</f>
        <v>7.9072000000000005</v>
      </c>
      <c r="Q117" s="275" t="s">
        <v>1285</v>
      </c>
      <c r="R117" s="275">
        <v>5</v>
      </c>
      <c r="S117" s="275" t="s">
        <v>1470</v>
      </c>
      <c r="T117" s="279">
        <f>IFERROR(VLOOKUP(Table5[[#This Row],[HCPCS code 2017 Q3]], ASP2017Q3[], 4, FALSE), "")</f>
        <v>37.872999999999998</v>
      </c>
      <c r="U117" s="279">
        <f>IFERROR(Table5[[#This Row],[Payment Limit 2017Q3]]/Table5[[#This Row],[HCPCS code dosage 2017Q3]], "")</f>
        <v>7.5745999999999993</v>
      </c>
      <c r="V117" s="374" t="s">
        <v>1285</v>
      </c>
      <c r="W117" s="377">
        <v>5</v>
      </c>
      <c r="X117" s="142" t="s">
        <v>1470</v>
      </c>
      <c r="Y117" s="279">
        <v>32.040999999999997</v>
      </c>
      <c r="Z117" s="370">
        <f>IFERROR(Table5[[#This Row],[Payment Limit 2018 Q1]]/Table5[[#This Row],[HCPCS code dosage 2018 Q1]],"")</f>
        <v>6.408199999999999</v>
      </c>
      <c r="AA117" s="374" t="s">
        <v>1285</v>
      </c>
      <c r="AB117" s="381">
        <v>5</v>
      </c>
      <c r="AC117" s="142" t="s">
        <v>1470</v>
      </c>
      <c r="AD117" s="378">
        <v>29.876999999999999</v>
      </c>
      <c r="AE117" s="370">
        <f>IFERROR(Table5[[#This Row],[Payment Limit 2018 Q3]]/Table5[[#This Row],[HCPCS code dosage 2018 Q3]],"")</f>
        <v>5.9753999999999996</v>
      </c>
      <c r="AF117" s="275" t="s">
        <v>1285</v>
      </c>
      <c r="AG117" s="122">
        <v>5.5164</v>
      </c>
      <c r="AH117" s="117" t="s">
        <v>1285</v>
      </c>
      <c r="AI117" s="118" t="s">
        <v>1666</v>
      </c>
      <c r="AJ117" s="118" t="s">
        <v>1470</v>
      </c>
      <c r="AK117" s="115">
        <f>IFERROR(VLOOKUP(Table5[[#This Row],[HCPCS code 2019Q3]], ASP2019Q3[], 4, FALSE), "")</f>
        <v>27.268000000000001</v>
      </c>
      <c r="AL117" s="72">
        <f>IFERROR(Table5[[#This Row],[Payment Limit 2019Q3]]/Table5[[#This Row],[HCPCS code dosage 2019Q3]], "")</f>
        <v>5.4535999999999998</v>
      </c>
      <c r="AM117" s="130" t="s">
        <v>1285</v>
      </c>
      <c r="AN117" s="130" t="s">
        <v>1666</v>
      </c>
      <c r="AO117" s="130" t="s">
        <v>1470</v>
      </c>
      <c r="AP117" s="126">
        <f>IFERROR(VLOOKUP(Table5[[#This Row],[HCPCS code 2020Q1]], ASP2020Q1[], 4, FALSE), "")</f>
        <v>27.805</v>
      </c>
      <c r="AQ117" s="77">
        <f>IFERROR(Table5[[#This Row],[Payment Limit 2020Q1]]/Table5[[#This Row],[HCPCS code dosage 2020Q1]], "")</f>
        <v>5.5609999999999999</v>
      </c>
      <c r="AR117" s="133" t="s">
        <v>1285</v>
      </c>
      <c r="AS117" s="130" t="s">
        <v>1666</v>
      </c>
      <c r="AT117" s="130" t="s">
        <v>1470</v>
      </c>
      <c r="AU117" s="132">
        <f>IFERROR(VLOOKUP(Table5[[#This Row],[HCPCS code 2020Q3]], ASP2020Q3[], 4, FALSE), "")</f>
        <v>29.75</v>
      </c>
      <c r="AV117" s="72">
        <f>IFERROR(Table5[[#This Row],[Payment limit 2020Q3]]/Table5[[#This Row],[HCPCS code dosage 2020Q3]],"")</f>
        <v>5.95</v>
      </c>
      <c r="AW117" s="144" t="s">
        <v>1285</v>
      </c>
      <c r="AX117" s="118" t="s">
        <v>1666</v>
      </c>
      <c r="AY117" s="144" t="s">
        <v>1470</v>
      </c>
      <c r="AZ117" s="144">
        <f>IFERROR(VLOOKUP(Table5[[#This Row],[HCPCS code 2021Q1]], ASP2021Q1[], 4, FALSE), "")</f>
        <v>24.14</v>
      </c>
      <c r="BA117" s="122">
        <f>IFERROR(Table5[[#This Row],[Payment limit 2021Q1]]/Table5[[#This Row],[HCPCS code dosage 2021Q1]], "")</f>
        <v>4.8280000000000003</v>
      </c>
      <c r="BB117" s="147" t="s">
        <v>1285</v>
      </c>
      <c r="BC117" s="118" t="s">
        <v>1666</v>
      </c>
      <c r="BD117" s="144" t="s">
        <v>1470</v>
      </c>
      <c r="BE117" s="144">
        <f>IFERROR(VLOOKUP(Table5[[#This Row],[HCPCS code 2021Q3]], ASP2021Q3[], 4, FALSE), "")</f>
        <v>29.187000000000001</v>
      </c>
      <c r="BF117" s="122">
        <f>IFERROR(Table5[[#This Row],[Payment limit 2021Q3]]/Table5[[#This Row],[HCPCS code dosage 2021Q3]], "")</f>
        <v>5.8374000000000006</v>
      </c>
      <c r="BG117" s="147" t="s">
        <v>1285</v>
      </c>
      <c r="BH117" s="118" t="s">
        <v>1666</v>
      </c>
      <c r="BI117" s="144" t="s">
        <v>1470</v>
      </c>
      <c r="BJ117" s="144">
        <f>IFERROR(VLOOKUP(Table5[[#This Row],[HCPCS code 2022Q1]], ASP2022Q1[], 4, FALSE), "")</f>
        <v>29.402000000000001</v>
      </c>
      <c r="BK117" s="122">
        <f>IFERROR(Table5[[#This Row],[Payment limit 2022Q1]]/Table5[[#This Row],[HCPCS code dosage 2022Q1]], "")</f>
        <v>5.8803999999999998</v>
      </c>
      <c r="BL117" s="144" t="s">
        <v>1285</v>
      </c>
      <c r="BM117" s="184">
        <v>5</v>
      </c>
      <c r="BN117" s="144" t="s">
        <v>1470</v>
      </c>
      <c r="BO117" s="144">
        <f>IFERROR(VLOOKUP(Table5[[#This Row],[HCPCS Code 2022Q3]], ASP2022Q3[], 4, FALSE), "")</f>
        <v>35.786000000000001</v>
      </c>
      <c r="BP117" s="122">
        <f>IFERROR(Table5[[#This Row],[Payment limit 2022Q3]]/Table5[[#This Row],[HCPCS code dosage 2022Q3]], "")</f>
        <v>7.1572000000000005</v>
      </c>
      <c r="BQ117" s="144" t="s">
        <v>1285</v>
      </c>
      <c r="BR117" s="118">
        <v>5</v>
      </c>
      <c r="BS117" s="144" t="s">
        <v>1470</v>
      </c>
      <c r="BT117" s="144">
        <v>54.884</v>
      </c>
      <c r="BU117" s="144">
        <f>IFERROR(Table5[[#This Row],[Payment limit 2023Q1]]/Table5[[#This Row],[HCPCS code dosage 2023Q1]], "")</f>
        <v>10.976800000000001</v>
      </c>
      <c r="BV117" s="79"/>
    </row>
    <row r="118" spans="1:74" x14ac:dyDescent="0.3">
      <c r="A118" s="62" t="s">
        <v>29</v>
      </c>
      <c r="B118" s="286" t="s">
        <v>1270</v>
      </c>
      <c r="C118" s="286">
        <v>1</v>
      </c>
      <c r="D118" s="307" t="s">
        <v>1470</v>
      </c>
      <c r="E118" s="292">
        <f>IFERROR(VLOOKUP(Table5[[#This Row],[HCPCS code 2016 Q1]], ASP2016Q1[], 4, FALSE), "")</f>
        <v>10.032999999999999</v>
      </c>
      <c r="F118" s="303">
        <f>IFERROR(Table5[[#This Row],[Payment Limit 2016Q1]]/Table5[[#This Row],[HCPCS code dosage 2016Q1]], "")</f>
        <v>10.032999999999999</v>
      </c>
      <c r="G118" s="286" t="s">
        <v>1270</v>
      </c>
      <c r="H118" s="286">
        <v>1</v>
      </c>
      <c r="I118" s="307" t="s">
        <v>1470</v>
      </c>
      <c r="J118" s="292">
        <f>IFERROR(VLOOKUP(Table5[[#This Row],[HCPCS code 2016 Q3]], ASP2016Q3[], 4, FALSE), "")</f>
        <v>10.052</v>
      </c>
      <c r="K118" s="303">
        <f>IFERROR(Table5[[#This Row],[Payment Limit 2016Q3]]/Table5[[#This Row],[HCPCS code dosage 2016Q3]], "")</f>
        <v>10.052</v>
      </c>
      <c r="L118" s="286" t="s">
        <v>1270</v>
      </c>
      <c r="M118" s="286">
        <v>1</v>
      </c>
      <c r="N118" s="307" t="s">
        <v>1470</v>
      </c>
      <c r="O118" s="291">
        <f>IFERROR(VLOOKUP(Table5[[#This Row],[HCPCS code 2017 Q1]], ASP2017Q1[], 4, FALSE), "")</f>
        <v>10.352</v>
      </c>
      <c r="P118" s="302">
        <f>IFERROR(Table5[[#This Row],[Payment Limit 2017Q1]]/Table5[[#This Row],[HCPCS code dosage 2017Q1]], "")</f>
        <v>10.352</v>
      </c>
      <c r="Q118" s="275" t="s">
        <v>1270</v>
      </c>
      <c r="R118" s="275">
        <v>1</v>
      </c>
      <c r="S118" s="275" t="s">
        <v>1470</v>
      </c>
      <c r="T118" s="279">
        <f>IFERROR(VLOOKUP(Table5[[#This Row],[HCPCS code 2017 Q3]], ASP2017Q3[], 4, FALSE), "")</f>
        <v>10.752000000000001</v>
      </c>
      <c r="U118" s="279">
        <f>IFERROR(Table5[[#This Row],[Payment Limit 2017Q3]]/Table5[[#This Row],[HCPCS code dosage 2017Q3]], "")</f>
        <v>10.752000000000001</v>
      </c>
      <c r="V118" s="374" t="s">
        <v>1270</v>
      </c>
      <c r="W118" s="377">
        <v>1</v>
      </c>
      <c r="X118" s="142" t="s">
        <v>1470</v>
      </c>
      <c r="Y118" s="279">
        <v>11.034000000000001</v>
      </c>
      <c r="Z118" s="370">
        <f>IFERROR(Table5[[#This Row],[Payment Limit 2018 Q1]]/Table5[[#This Row],[HCPCS code dosage 2018 Q1]],"")</f>
        <v>11.034000000000001</v>
      </c>
      <c r="AA118" s="374" t="s">
        <v>1270</v>
      </c>
      <c r="AB118" s="381">
        <v>1</v>
      </c>
      <c r="AC118" s="142" t="s">
        <v>1470</v>
      </c>
      <c r="AD118" s="378">
        <v>11.228</v>
      </c>
      <c r="AE118" s="370">
        <f>IFERROR(Table5[[#This Row],[Payment Limit 2018 Q3]]/Table5[[#This Row],[HCPCS code dosage 2018 Q3]],"")</f>
        <v>11.228</v>
      </c>
      <c r="AF118" s="275" t="s">
        <v>1270</v>
      </c>
      <c r="AG118" s="122">
        <v>11.866</v>
      </c>
      <c r="AH118" s="117" t="s">
        <v>1270</v>
      </c>
      <c r="AI118" s="118" t="s">
        <v>1665</v>
      </c>
      <c r="AJ118" s="118" t="s">
        <v>1470</v>
      </c>
      <c r="AK118" s="115">
        <f>IFERROR(VLOOKUP(Table5[[#This Row],[HCPCS code 2019Q3]], ASP2019Q3[], 4, FALSE), "")</f>
        <v>12.304</v>
      </c>
      <c r="AL118" s="72">
        <f>IFERROR(Table5[[#This Row],[Payment Limit 2019Q3]]/Table5[[#This Row],[HCPCS code dosage 2019Q3]], "")</f>
        <v>12.304</v>
      </c>
      <c r="AM118" s="130" t="s">
        <v>1270</v>
      </c>
      <c r="AN118" s="130" t="s">
        <v>1665</v>
      </c>
      <c r="AO118" s="130" t="s">
        <v>1470</v>
      </c>
      <c r="AP118" s="126">
        <f>IFERROR(VLOOKUP(Table5[[#This Row],[HCPCS code 2020Q1]], ASP2020Q1[], 4, FALSE), "")</f>
        <v>12.554</v>
      </c>
      <c r="AQ118" s="77">
        <f>IFERROR(Table5[[#This Row],[Payment Limit 2020Q1]]/Table5[[#This Row],[HCPCS code dosage 2020Q1]], "")</f>
        <v>12.554</v>
      </c>
      <c r="AR118" s="133" t="s">
        <v>1270</v>
      </c>
      <c r="AS118" s="130" t="s">
        <v>1665</v>
      </c>
      <c r="AT118" s="130" t="s">
        <v>1470</v>
      </c>
      <c r="AU118" s="132">
        <f>IFERROR(VLOOKUP(Table5[[#This Row],[HCPCS code 2020Q3]], ASP2020Q3[], 4, FALSE), "")</f>
        <v>13.269</v>
      </c>
      <c r="AV118" s="72">
        <f>IFERROR(Table5[[#This Row],[Payment limit 2020Q3]]/Table5[[#This Row],[HCPCS code dosage 2020Q3]],"")</f>
        <v>13.269</v>
      </c>
      <c r="AW118" s="144" t="s">
        <v>1270</v>
      </c>
      <c r="AX118" s="118" t="s">
        <v>1665</v>
      </c>
      <c r="AY118" s="144" t="s">
        <v>1470</v>
      </c>
      <c r="AZ118" s="144">
        <f>IFERROR(VLOOKUP(Table5[[#This Row],[HCPCS code 2021Q1]], ASP2021Q1[], 4, FALSE), "")</f>
        <v>13.430999999999999</v>
      </c>
      <c r="BA118" s="122">
        <f>IFERROR(Table5[[#This Row],[Payment limit 2021Q1]]/Table5[[#This Row],[HCPCS code dosage 2021Q1]], "")</f>
        <v>13.430999999999999</v>
      </c>
      <c r="BB118" s="147" t="s">
        <v>1270</v>
      </c>
      <c r="BC118" s="118" t="s">
        <v>1665</v>
      </c>
      <c r="BD118" s="144" t="s">
        <v>1470</v>
      </c>
      <c r="BE118" s="144">
        <f>IFERROR(VLOOKUP(Table5[[#This Row],[HCPCS code 2021Q3]], ASP2021Q3[], 4, FALSE), "")</f>
        <v>14.103999999999999</v>
      </c>
      <c r="BF118" s="122">
        <f>IFERROR(Table5[[#This Row],[Payment limit 2021Q3]]/Table5[[#This Row],[HCPCS code dosage 2021Q3]], "")</f>
        <v>14.103999999999999</v>
      </c>
      <c r="BG118" s="147" t="s">
        <v>1270</v>
      </c>
      <c r="BH118" s="118" t="s">
        <v>1665</v>
      </c>
      <c r="BI118" s="144" t="s">
        <v>1470</v>
      </c>
      <c r="BJ118" s="144">
        <f>IFERROR(VLOOKUP(Table5[[#This Row],[HCPCS code 2022Q1]], ASP2022Q1[], 4, FALSE), "")</f>
        <v>14.044</v>
      </c>
      <c r="BK118" s="122">
        <f>IFERROR(Table5[[#This Row],[Payment limit 2022Q1]]/Table5[[#This Row],[HCPCS code dosage 2022Q1]], "")</f>
        <v>14.044</v>
      </c>
      <c r="BL118" s="144" t="s">
        <v>1270</v>
      </c>
      <c r="BM118" s="184">
        <v>1</v>
      </c>
      <c r="BN118" s="144" t="s">
        <v>1470</v>
      </c>
      <c r="BO118" s="144">
        <f>IFERROR(VLOOKUP(Table5[[#This Row],[HCPCS Code 2022Q3]], ASP2022Q3[], 4, FALSE), "")</f>
        <v>14.693</v>
      </c>
      <c r="BP118" s="122">
        <f>IFERROR(Table5[[#This Row],[Payment limit 2022Q3]]/Table5[[#This Row],[HCPCS code dosage 2022Q3]], "")</f>
        <v>14.693</v>
      </c>
      <c r="BQ118" s="144" t="s">
        <v>1270</v>
      </c>
      <c r="BR118" s="118">
        <v>1</v>
      </c>
      <c r="BS118" s="144" t="s">
        <v>1470</v>
      </c>
      <c r="BT118" s="144">
        <v>11.975</v>
      </c>
      <c r="BU118" s="144">
        <f>IFERROR(Table5[[#This Row],[Payment limit 2023Q1]]/Table5[[#This Row],[HCPCS code dosage 2023Q1]], "")</f>
        <v>11.975</v>
      </c>
      <c r="BV118" s="79"/>
    </row>
    <row r="119" spans="1:74" x14ac:dyDescent="0.3">
      <c r="A119" s="69" t="s">
        <v>2672</v>
      </c>
      <c r="B119" s="275" t="s">
        <v>1287</v>
      </c>
      <c r="C119" s="273">
        <v>1</v>
      </c>
      <c r="D119" s="275" t="s">
        <v>1470</v>
      </c>
      <c r="E119" s="280">
        <v>5.2549999999999999</v>
      </c>
      <c r="F119" s="305">
        <f>IFERROR(Table5[[#This Row],[Payment Limit 2016Q1]]/Table5[[#This Row],[HCPCS code dosage 2016Q1]], "")</f>
        <v>5.2549999999999999</v>
      </c>
      <c r="G119" s="273" t="s">
        <v>1287</v>
      </c>
      <c r="H119" s="273"/>
      <c r="I119" s="275"/>
      <c r="J119" s="280" t="str">
        <f>IFERROR(VLOOKUP(Table5[[#This Row],[HCPCS code 2016 Q3]], ASP2016Q3[], 4, FALSE), "")</f>
        <v/>
      </c>
      <c r="K119" s="305" t="str">
        <f>IFERROR(Table5[[#This Row],[Payment Limit 2016Q3]]/Table5[[#This Row],[HCPCS code dosage 2016Q3]], "")</f>
        <v/>
      </c>
      <c r="L119" s="273" t="s">
        <v>1287</v>
      </c>
      <c r="M119" s="273"/>
      <c r="N119" s="275"/>
      <c r="O119" s="280">
        <f>IFERROR(VLOOKUP(Table5[[#This Row],[HCPCS code 2017 Q1]], ASP2017Q1[], 4, FALSE), "")</f>
        <v>5.2549999999999999</v>
      </c>
      <c r="P119" s="305" t="str">
        <f>IFERROR(Table5[[#This Row],[Payment Limit 2017Q1]]/Table5[[#This Row],[HCPCS code dosage 2017Q1]], "")</f>
        <v/>
      </c>
      <c r="Q119" s="416"/>
      <c r="R119" s="416"/>
      <c r="S119" s="416"/>
      <c r="T119" s="280" t="str">
        <f>IFERROR(VLOOKUP(Table5[[#This Row],[HCPCS code 2017 Q3]], ASP2017Q3[], 4, FALSE), "")</f>
        <v/>
      </c>
      <c r="U119" s="280" t="str">
        <f>IFERROR(Table5[[#This Row],[Payment Limit 2017Q3]]/Table5[[#This Row],[HCPCS code dosage 2017Q3]], "")</f>
        <v/>
      </c>
      <c r="V119" s="374"/>
      <c r="W119" s="377"/>
      <c r="X119" s="142"/>
      <c r="Y119" s="280"/>
      <c r="Z119" s="305"/>
      <c r="AA119" s="374"/>
      <c r="AB119" s="381"/>
      <c r="AC119" s="142"/>
      <c r="AD119" s="378"/>
      <c r="AE119" s="305"/>
      <c r="AF119" s="416"/>
      <c r="AG119" s="122"/>
      <c r="AH119" s="117"/>
      <c r="AI119" s="118"/>
      <c r="AJ119" s="118"/>
      <c r="AK119" s="132" t="str">
        <f>IFERROR(VLOOKUP(Table5[[#This Row],[HCPCS code 2019Q3]], ASP2019Q3[], 4, FALSE), "")</f>
        <v/>
      </c>
      <c r="AL119" s="72" t="str">
        <f>IFERROR(Table5[[#This Row],[Payment Limit 2019Q3]]/Table5[[#This Row],[HCPCS code dosage 2019Q3]], "")</f>
        <v/>
      </c>
      <c r="AM119" s="130"/>
      <c r="AN119" s="130"/>
      <c r="AO119" s="130"/>
      <c r="AP119" s="126" t="str">
        <f>IFERROR(VLOOKUP(Table5[[#This Row],[HCPCS code 2020Q1]], ASP2020Q1[], 4, FALSE), "")</f>
        <v/>
      </c>
      <c r="AQ119" s="77" t="str">
        <f>IFERROR(Table5[[#This Row],[Payment Limit 2020Q1]]/Table5[[#This Row],[HCPCS code dosage 2020Q1]], "")</f>
        <v/>
      </c>
      <c r="AR119" s="133"/>
      <c r="AS119" s="130"/>
      <c r="AT119" s="130"/>
      <c r="AU119" s="132" t="str">
        <f>IFERROR(VLOOKUP(Table5[[#This Row],[HCPCS code 2020Q3]], ASP2020Q3[], 4, FALSE), "")</f>
        <v/>
      </c>
      <c r="AV119" s="72" t="str">
        <f>IFERROR(Table5[[#This Row],[Payment limit 2020Q3]]/Table5[[#This Row],[HCPCS code dosage 2020Q3]],"")</f>
        <v/>
      </c>
      <c r="AW119" s="144"/>
      <c r="AX119" s="118"/>
      <c r="AY119" s="144"/>
      <c r="AZ119" s="144" t="str">
        <f>IFERROR(VLOOKUP(Table5[[#This Row],[HCPCS code 2021Q1]], ASP2021Q1[], 4, FALSE), "")</f>
        <v/>
      </c>
      <c r="BA119" s="122" t="str">
        <f>IFERROR(Table5[[#This Row],[Payment limit 2021Q1]]/Table5[[#This Row],[HCPCS code dosage 2021Q1]], "")</f>
        <v/>
      </c>
      <c r="BB119" s="147"/>
      <c r="BC119" s="118"/>
      <c r="BD119" s="144"/>
      <c r="BE119" s="144" t="str">
        <f>IFERROR(VLOOKUP(Table5[[#This Row],[HCPCS code 2021Q3]], ASP2021Q3[], 4, FALSE), "")</f>
        <v/>
      </c>
      <c r="BF119" s="122" t="str">
        <f>IFERROR(Table5[[#This Row],[Payment limit 2021Q3]]/Table5[[#This Row],[HCPCS code dosage 2021Q3]], "")</f>
        <v/>
      </c>
      <c r="BG119" s="147"/>
      <c r="BH119" s="118"/>
      <c r="BI119" s="144"/>
      <c r="BJ119" s="144" t="str">
        <f>IFERROR(VLOOKUP(Table5[[#This Row],[HCPCS code 2022Q1]], ASP2022Q1[], 4, FALSE), "")</f>
        <v/>
      </c>
      <c r="BK119" s="122" t="str">
        <f>IFERROR(Table5[[#This Row],[Payment limit 2022Q1]]/Table5[[#This Row],[HCPCS code dosage 2022Q1]], "")</f>
        <v/>
      </c>
      <c r="BL119" s="144"/>
      <c r="BM119" s="184"/>
      <c r="BN119" s="144"/>
      <c r="BO119" s="144" t="str">
        <f>IFERROR(VLOOKUP(Table5[[#This Row],[HCPCS Code 2022Q3]], ASP2022Q3[], 4, FALSE), "")</f>
        <v/>
      </c>
      <c r="BP119" s="122" t="str">
        <f>IFERROR(Table5[[#This Row],[Payment limit 2022Q3]]/Table5[[#This Row],[HCPCS code dosage 2022Q3]], "")</f>
        <v/>
      </c>
      <c r="BQ119" s="144"/>
      <c r="BR119" s="521"/>
      <c r="BS119" s="144"/>
      <c r="BT119" s="144"/>
      <c r="BU119" s="144" t="str">
        <f>IFERROR(Table5[[#This Row],[Payment limit 2023Q1]]/Table5[[#This Row],[HCPCS code dosage 2023Q1]], "")</f>
        <v/>
      </c>
      <c r="BV119" s="79"/>
    </row>
    <row r="120" spans="1:74" x14ac:dyDescent="0.3">
      <c r="A120" s="69" t="s">
        <v>1697</v>
      </c>
      <c r="B120" s="273" t="s">
        <v>1135</v>
      </c>
      <c r="C120" s="273">
        <v>300</v>
      </c>
      <c r="D120" s="275" t="s">
        <v>1470</v>
      </c>
      <c r="E120" s="280">
        <f>IFERROR(VLOOKUP(Table5[[#This Row],[HCPCS code 2016 Q1]], ASP2016Q1[], 4, FALSE), "")</f>
        <v>494.07799999999997</v>
      </c>
      <c r="F120" s="305">
        <f>IFERROR(Table5[[#This Row],[Payment Limit 2016Q1]]/Table5[[#This Row],[HCPCS code dosage 2016Q1]], "")</f>
        <v>1.6469266666666666</v>
      </c>
      <c r="G120" s="273" t="s">
        <v>1135</v>
      </c>
      <c r="H120" s="273">
        <v>300</v>
      </c>
      <c r="I120" s="275" t="s">
        <v>1470</v>
      </c>
      <c r="J120" s="280">
        <f>IFERROR(VLOOKUP(Table5[[#This Row],[HCPCS code 2016 Q3]], ASP2016Q3[], 4, FALSE), "")</f>
        <v>464.90800000000002</v>
      </c>
      <c r="K120" s="305">
        <f>IFERROR(Table5[[#This Row],[Payment Limit 2016Q3]]/Table5[[#This Row],[HCPCS code dosage 2016Q3]], "")</f>
        <v>1.5496933333333334</v>
      </c>
      <c r="L120" s="273" t="s">
        <v>1135</v>
      </c>
      <c r="M120" s="273">
        <v>300</v>
      </c>
      <c r="N120" s="275" t="s">
        <v>1470</v>
      </c>
      <c r="O120" s="291">
        <f>IFERROR(VLOOKUP(Table5[[#This Row],[HCPCS code 2017 Q1]], ASP2017Q1[], 4, FALSE), "")</f>
        <v>444.99200000000002</v>
      </c>
      <c r="P120" s="302">
        <f>IFERROR(Table5[[#This Row],[Payment Limit 2017Q1]]/Table5[[#This Row],[HCPCS code dosage 2017Q1]], "")</f>
        <v>1.4833066666666668</v>
      </c>
      <c r="Q120" s="275" t="s">
        <v>1135</v>
      </c>
      <c r="R120" s="275">
        <v>300</v>
      </c>
      <c r="S120" s="275" t="s">
        <v>1470</v>
      </c>
      <c r="T120" s="280">
        <f>IFERROR(VLOOKUP(Table5[[#This Row],[HCPCS code 2017 Q3]], ASP2017Q3[], 4, FALSE), "")</f>
        <v>431.50099999999998</v>
      </c>
      <c r="U120" s="280">
        <f>IFERROR(Table5[[#This Row],[Payment Limit 2017Q3]]/Table5[[#This Row],[HCPCS code dosage 2017Q3]], "")</f>
        <v>1.4383366666666666</v>
      </c>
      <c r="V120" s="374" t="s">
        <v>1135</v>
      </c>
      <c r="W120" s="377">
        <v>300</v>
      </c>
      <c r="X120" s="142" t="s">
        <v>1470</v>
      </c>
      <c r="Y120" s="280">
        <v>398.82900000000001</v>
      </c>
      <c r="Z120" s="305">
        <f>IFERROR(Table5[[#This Row],[Payment Limit 2018 Q1]]/Table5[[#This Row],[HCPCS code dosage 2018 Q1]],"")</f>
        <v>1.3294300000000001</v>
      </c>
      <c r="AA120" s="374" t="s">
        <v>1135</v>
      </c>
      <c r="AB120" s="381">
        <v>300</v>
      </c>
      <c r="AC120" s="142" t="s">
        <v>1470</v>
      </c>
      <c r="AD120" s="378">
        <v>340.62400000000002</v>
      </c>
      <c r="AE120" s="305">
        <f>IFERROR(Table5[[#This Row],[Payment Limit 2018 Q3]]/Table5[[#This Row],[HCPCS code dosage 2018 Q3]],"")</f>
        <v>1.1354133333333334</v>
      </c>
      <c r="AF120" s="273" t="s">
        <v>1135</v>
      </c>
      <c r="AG120" s="122">
        <v>0.94275666666666669</v>
      </c>
      <c r="AH120" s="117" t="s">
        <v>1135</v>
      </c>
      <c r="AI120" s="118">
        <v>300</v>
      </c>
      <c r="AJ120" s="118" t="s">
        <v>1470</v>
      </c>
      <c r="AK120" s="115">
        <f>IFERROR(VLOOKUP(Table5[[#This Row],[HCPCS code 2019Q3]], ASP2019Q3[], 4, FALSE), "")</f>
        <v>250.19900000000001</v>
      </c>
      <c r="AL120" s="72">
        <f>IFERROR(Table5[[#This Row],[Payment Limit 2019Q3]]/Table5[[#This Row],[HCPCS code dosage 2019Q3]], "")</f>
        <v>0.83399666666666672</v>
      </c>
      <c r="AM120" s="130" t="s">
        <v>1135</v>
      </c>
      <c r="AN120" s="130">
        <v>300</v>
      </c>
      <c r="AO120" s="130" t="s">
        <v>1470</v>
      </c>
      <c r="AP120" s="126">
        <f>IFERROR(VLOOKUP(Table5[[#This Row],[HCPCS code 2020Q1]], ASP2020Q1[], 4, FALSE), "")</f>
        <v>246.916</v>
      </c>
      <c r="AQ120" s="77">
        <f>IFERROR(Table5[[#This Row],[Payment Limit 2020Q1]]/Table5[[#This Row],[HCPCS code dosage 2020Q1]], "")</f>
        <v>0.8230533333333333</v>
      </c>
      <c r="AR120" s="133" t="s">
        <v>1135</v>
      </c>
      <c r="AS120" s="130">
        <v>300</v>
      </c>
      <c r="AT120" s="130" t="s">
        <v>1470</v>
      </c>
      <c r="AU120" s="132">
        <f>IFERROR(VLOOKUP(Table5[[#This Row],[HCPCS code 2020Q3]], ASP2020Q3[], 4, FALSE), "")</f>
        <v>236.01499999999999</v>
      </c>
      <c r="AV120" s="72">
        <f>IFERROR(Table5[[#This Row],[Payment limit 2020Q3]]/Table5[[#This Row],[HCPCS code dosage 2020Q3]],"")</f>
        <v>0.78671666666666662</v>
      </c>
      <c r="AW120" s="144" t="s">
        <v>1135</v>
      </c>
      <c r="AX120" s="118">
        <v>300</v>
      </c>
      <c r="AY120" s="144" t="s">
        <v>1470</v>
      </c>
      <c r="AZ120" s="144">
        <f>IFERROR(VLOOKUP(Table5[[#This Row],[HCPCS code 2021Q1]], ASP2021Q1[], 4, FALSE), "")</f>
        <v>270.64999999999998</v>
      </c>
      <c r="BA120" s="122">
        <f>IFERROR(Table5[[#This Row],[Payment limit 2021Q1]]/Table5[[#This Row],[HCPCS code dosage 2021Q1]], "")</f>
        <v>0.90216666666666656</v>
      </c>
      <c r="BB120" s="147" t="s">
        <v>1135</v>
      </c>
      <c r="BC120" s="118">
        <v>300</v>
      </c>
      <c r="BD120" s="144" t="s">
        <v>1470</v>
      </c>
      <c r="BE120" s="144">
        <f>IFERROR(VLOOKUP(Table5[[#This Row],[HCPCS code 2021Q3]], ASP2021Q3[], 4, FALSE), "")</f>
        <v>316.42</v>
      </c>
      <c r="BF120" s="122">
        <f>IFERROR(Table5[[#This Row],[Payment limit 2021Q3]]/Table5[[#This Row],[HCPCS code dosage 2021Q3]], "")</f>
        <v>1.0547333333333333</v>
      </c>
      <c r="BG120" s="147" t="s">
        <v>1135</v>
      </c>
      <c r="BH120" s="118">
        <v>300</v>
      </c>
      <c r="BI120" s="144" t="s">
        <v>1470</v>
      </c>
      <c r="BJ120" s="144">
        <f>IFERROR(VLOOKUP(Table5[[#This Row],[HCPCS code 2022Q1]], ASP2022Q1[], 4, FALSE), "")</f>
        <v>322.714</v>
      </c>
      <c r="BK120" s="122">
        <f>IFERROR(Table5[[#This Row],[Payment limit 2022Q1]]/Table5[[#This Row],[HCPCS code dosage 2022Q1]], "")</f>
        <v>1.0757133333333333</v>
      </c>
      <c r="BL120" s="144" t="s">
        <v>1135</v>
      </c>
      <c r="BM120" s="184">
        <v>300</v>
      </c>
      <c r="BN120" s="144" t="s">
        <v>1470</v>
      </c>
      <c r="BO120" s="144">
        <f>IFERROR(VLOOKUP(Table5[[#This Row],[HCPCS Code 2022Q3]], ASP2022Q3[], 4, FALSE), "")</f>
        <v>379.06</v>
      </c>
      <c r="BP120" s="122">
        <f>IFERROR(Table5[[#This Row],[Payment limit 2022Q3]]/Table5[[#This Row],[HCPCS code dosage 2022Q3]], "")</f>
        <v>1.2635333333333334</v>
      </c>
      <c r="BQ120" s="144" t="s">
        <v>1135</v>
      </c>
      <c r="BR120" s="118">
        <v>300</v>
      </c>
      <c r="BS120" s="144" t="s">
        <v>1470</v>
      </c>
      <c r="BT120" s="144">
        <v>409.52800000000002</v>
      </c>
      <c r="BU120" s="144">
        <f>IFERROR(Table5[[#This Row],[Payment limit 2023Q1]]/Table5[[#This Row],[HCPCS code dosage 2023Q1]], "")</f>
        <v>1.3650933333333335</v>
      </c>
      <c r="BV120" s="422" t="s">
        <v>2747</v>
      </c>
    </row>
    <row r="121" spans="1:74" x14ac:dyDescent="0.3">
      <c r="A121" s="62" t="s">
        <v>49</v>
      </c>
      <c r="B121" s="286" t="s">
        <v>1289</v>
      </c>
      <c r="C121" s="286">
        <v>1</v>
      </c>
      <c r="D121" s="307" t="s">
        <v>1470</v>
      </c>
      <c r="E121" s="292">
        <f>IFERROR(VLOOKUP(Table5[[#This Row],[HCPCS code 2016 Q1]], ASP2016Q1[], 4, FALSE), "")</f>
        <v>25.37</v>
      </c>
      <c r="F121" s="303">
        <f>IFERROR(Table5[[#This Row],[Payment Limit 2016Q1]]/Table5[[#This Row],[HCPCS code dosage 2016Q1]], "")</f>
        <v>25.37</v>
      </c>
      <c r="G121" s="286" t="s">
        <v>1289</v>
      </c>
      <c r="H121" s="286">
        <v>1</v>
      </c>
      <c r="I121" s="307" t="s">
        <v>1470</v>
      </c>
      <c r="J121" s="292">
        <f>IFERROR(VLOOKUP(Table5[[#This Row],[HCPCS code 2016 Q3]], ASP2016Q3[], 4, FALSE), "")</f>
        <v>25.693999999999999</v>
      </c>
      <c r="K121" s="303">
        <f>IFERROR(Table5[[#This Row],[Payment Limit 2016Q3]]/Table5[[#This Row],[HCPCS code dosage 2016Q3]], "")</f>
        <v>25.693999999999999</v>
      </c>
      <c r="L121" s="286" t="s">
        <v>1289</v>
      </c>
      <c r="M121" s="286">
        <v>1</v>
      </c>
      <c r="N121" s="307" t="s">
        <v>1470</v>
      </c>
      <c r="O121" s="291">
        <f>IFERROR(VLOOKUP(Table5[[#This Row],[HCPCS code 2017 Q1]], ASP2017Q1[], 4, FALSE), "")</f>
        <v>26.047000000000001</v>
      </c>
      <c r="P121" s="302">
        <f>IFERROR(Table5[[#This Row],[Payment Limit 2017Q1]]/Table5[[#This Row],[HCPCS code dosage 2017Q1]], "")</f>
        <v>26.047000000000001</v>
      </c>
      <c r="Q121" s="275" t="s">
        <v>1289</v>
      </c>
      <c r="R121" s="275">
        <v>1</v>
      </c>
      <c r="S121" s="275" t="s">
        <v>1470</v>
      </c>
      <c r="T121" s="279">
        <f>IFERROR(VLOOKUP(Table5[[#This Row],[HCPCS code 2017 Q3]], ASP2017Q3[], 4, FALSE), "")</f>
        <v>26.422000000000001</v>
      </c>
      <c r="U121" s="279">
        <f>IFERROR(Table5[[#This Row],[Payment Limit 2017Q3]]/Table5[[#This Row],[HCPCS code dosage 2017Q3]], "")</f>
        <v>26.422000000000001</v>
      </c>
      <c r="V121" s="374" t="s">
        <v>1289</v>
      </c>
      <c r="W121" s="377">
        <v>1</v>
      </c>
      <c r="X121" s="142" t="s">
        <v>1470</v>
      </c>
      <c r="Y121" s="279">
        <v>26.786999999999999</v>
      </c>
      <c r="Z121" s="370">
        <f>IFERROR(Table5[[#This Row],[Payment Limit 2018 Q1]]/Table5[[#This Row],[HCPCS code dosage 2018 Q1]],"")</f>
        <v>26.786999999999999</v>
      </c>
      <c r="AA121" s="374" t="s">
        <v>1289</v>
      </c>
      <c r="AB121" s="381">
        <v>1</v>
      </c>
      <c r="AC121" s="142" t="s">
        <v>1470</v>
      </c>
      <c r="AD121" s="378">
        <v>27.155000000000001</v>
      </c>
      <c r="AE121" s="370">
        <f>IFERROR(Table5[[#This Row],[Payment Limit 2018 Q3]]/Table5[[#This Row],[HCPCS code dosage 2018 Q3]],"")</f>
        <v>27.155000000000001</v>
      </c>
      <c r="AF121" s="275" t="s">
        <v>1289</v>
      </c>
      <c r="AG121" s="122">
        <v>27.498000000000001</v>
      </c>
      <c r="AH121" s="117" t="s">
        <v>1289</v>
      </c>
      <c r="AI121" s="118" t="s">
        <v>1665</v>
      </c>
      <c r="AJ121" s="118" t="s">
        <v>1470</v>
      </c>
      <c r="AK121" s="115">
        <f>IFERROR(VLOOKUP(Table5[[#This Row],[HCPCS code 2019Q3]], ASP2019Q3[], 4, FALSE), "")</f>
        <v>27.803999999999998</v>
      </c>
      <c r="AL121" s="72">
        <f>IFERROR(Table5[[#This Row],[Payment Limit 2019Q3]]/Table5[[#This Row],[HCPCS code dosage 2019Q3]], "")</f>
        <v>27.803999999999998</v>
      </c>
      <c r="AM121" s="130" t="s">
        <v>1289</v>
      </c>
      <c r="AN121" s="130" t="s">
        <v>1665</v>
      </c>
      <c r="AO121" s="130" t="s">
        <v>1470</v>
      </c>
      <c r="AP121" s="126">
        <f>IFERROR(VLOOKUP(Table5[[#This Row],[HCPCS code 2020Q1]], ASP2020Q1[], 4, FALSE), "")</f>
        <v>28.161999999999999</v>
      </c>
      <c r="AQ121" s="77">
        <f>IFERROR(Table5[[#This Row],[Payment Limit 2020Q1]]/Table5[[#This Row],[HCPCS code dosage 2020Q1]], "")</f>
        <v>28.161999999999999</v>
      </c>
      <c r="AR121" s="133" t="s">
        <v>1289</v>
      </c>
      <c r="AS121" s="130" t="s">
        <v>1665</v>
      </c>
      <c r="AT121" s="130" t="s">
        <v>1470</v>
      </c>
      <c r="AU121" s="132">
        <f>IFERROR(VLOOKUP(Table5[[#This Row],[HCPCS code 2020Q3]], ASP2020Q3[], 4, FALSE), "")</f>
        <v>28.533999999999999</v>
      </c>
      <c r="AV121" s="72">
        <f>IFERROR(Table5[[#This Row],[Payment limit 2020Q3]]/Table5[[#This Row],[HCPCS code dosage 2020Q3]],"")</f>
        <v>28.533999999999999</v>
      </c>
      <c r="AW121" s="144" t="s">
        <v>1289</v>
      </c>
      <c r="AX121" s="118" t="s">
        <v>1665</v>
      </c>
      <c r="AY121" s="144" t="s">
        <v>1470</v>
      </c>
      <c r="AZ121" s="144">
        <f>IFERROR(VLOOKUP(Table5[[#This Row],[HCPCS code 2021Q1]], ASP2021Q1[], 4, FALSE), "")</f>
        <v>28.541</v>
      </c>
      <c r="BA121" s="122">
        <f>IFERROR(Table5[[#This Row],[Payment limit 2021Q1]]/Table5[[#This Row],[HCPCS code dosage 2021Q1]], "")</f>
        <v>28.541</v>
      </c>
      <c r="BB121" s="147" t="s">
        <v>1289</v>
      </c>
      <c r="BC121" s="118" t="s">
        <v>1665</v>
      </c>
      <c r="BD121" s="144" t="s">
        <v>1470</v>
      </c>
      <c r="BE121" s="144">
        <f>IFERROR(VLOOKUP(Table5[[#This Row],[HCPCS code 2021Q3]], ASP2021Q3[], 4, FALSE), "")</f>
        <v>28.895</v>
      </c>
      <c r="BF121" s="122">
        <f>IFERROR(Table5[[#This Row],[Payment limit 2021Q3]]/Table5[[#This Row],[HCPCS code dosage 2021Q3]], "")</f>
        <v>28.895</v>
      </c>
      <c r="BG121" s="147" t="s">
        <v>1289</v>
      </c>
      <c r="BH121" s="118" t="s">
        <v>1665</v>
      </c>
      <c r="BI121" s="144" t="s">
        <v>1470</v>
      </c>
      <c r="BJ121" s="144">
        <f>IFERROR(VLOOKUP(Table5[[#This Row],[HCPCS code 2022Q1]], ASP2022Q1[], 4, FALSE), "")</f>
        <v>29.245000000000001</v>
      </c>
      <c r="BK121" s="122">
        <f>IFERROR(Table5[[#This Row],[Payment limit 2022Q1]]/Table5[[#This Row],[HCPCS code dosage 2022Q1]], "")</f>
        <v>29.245000000000001</v>
      </c>
      <c r="BL121" s="144" t="s">
        <v>1289</v>
      </c>
      <c r="BM121" s="184">
        <v>1</v>
      </c>
      <c r="BN121" s="144" t="s">
        <v>1470</v>
      </c>
      <c r="BO121" s="144">
        <f>IFERROR(VLOOKUP(Table5[[#This Row],[HCPCS Code 2022Q3]], ASP2022Q3[], 4, FALSE), "")</f>
        <v>29.684999999999999</v>
      </c>
      <c r="BP121" s="122">
        <f>IFERROR(Table5[[#This Row],[Payment limit 2022Q3]]/Table5[[#This Row],[HCPCS code dosage 2022Q3]], "")</f>
        <v>29.684999999999999</v>
      </c>
      <c r="BQ121" s="144" t="s">
        <v>1289</v>
      </c>
      <c r="BR121" s="118">
        <v>1</v>
      </c>
      <c r="BS121" s="144" t="s">
        <v>1470</v>
      </c>
      <c r="BT121" s="144">
        <v>30.001000000000001</v>
      </c>
      <c r="BU121" s="144">
        <f>IFERROR(Table5[[#This Row],[Payment limit 2023Q1]]/Table5[[#This Row],[HCPCS code dosage 2023Q1]], "")</f>
        <v>30.001000000000001</v>
      </c>
      <c r="BV121" s="79"/>
    </row>
    <row r="122" spans="1:74" x14ac:dyDescent="0.3">
      <c r="A122" s="69" t="s">
        <v>2752</v>
      </c>
      <c r="B122" s="287"/>
      <c r="C122" s="287"/>
      <c r="D122" s="308"/>
      <c r="E122" s="280" t="str">
        <f>IFERROR(VLOOKUP(Table5[[#This Row],[HCPCS code 2016 Q1]], ASP2016Q1[], 4, FALSE), "")</f>
        <v/>
      </c>
      <c r="F122" s="305" t="str">
        <f>IFERROR(Table5[[#This Row],[Payment Limit 2016Q1]]/Table5[[#This Row],[HCPCS code dosage 2016Q1]], "")</f>
        <v/>
      </c>
      <c r="G122" s="287"/>
      <c r="H122" s="287"/>
      <c r="I122" s="308"/>
      <c r="J122" s="280" t="str">
        <f>IFERROR(VLOOKUP(Table5[[#This Row],[HCPCS code 2016 Q3]], ASP2016Q3[], 4, FALSE), "")</f>
        <v/>
      </c>
      <c r="K122" s="305" t="str">
        <f>IFERROR(Table5[[#This Row],[Payment Limit 2016Q3]]/Table5[[#This Row],[HCPCS code dosage 2016Q3]], "")</f>
        <v/>
      </c>
      <c r="L122" s="273"/>
      <c r="M122" s="273"/>
      <c r="N122" s="275"/>
      <c r="O122" s="280" t="str">
        <f>IFERROR(VLOOKUP(Table5[[#This Row],[HCPCS code 2017 Q1]], ASP2017Q1[], 4, FALSE), "")</f>
        <v/>
      </c>
      <c r="P122" s="305" t="str">
        <f>IFERROR(Table5[[#This Row],[Payment Limit 2017Q1]]/Table5[[#This Row],[HCPCS code dosage 2017Q1]], "")</f>
        <v/>
      </c>
      <c r="Q122" s="142"/>
      <c r="R122" s="416"/>
      <c r="S122" s="416"/>
      <c r="T122" s="280" t="str">
        <f>IFERROR(VLOOKUP(Table5[[#This Row],[HCPCS code 2017 Q3]], ASP2017Q3[], 4, FALSE), "")</f>
        <v/>
      </c>
      <c r="U122" s="280" t="str">
        <f>IFERROR(Table5[[#This Row],[Payment Limit 2017Q3]]/Table5[[#This Row],[HCPCS code dosage 2017Q3]], "")</f>
        <v/>
      </c>
      <c r="V122" s="374"/>
      <c r="W122" s="377"/>
      <c r="X122" s="142"/>
      <c r="Y122" s="279"/>
      <c r="Z122" s="370" t="str">
        <f>IFERROR(Table5[[#This Row],[Payment Limit 2018 Q1]]/Table5[[#This Row],[HCPCS code dosage 2018 Q1]],"")</f>
        <v/>
      </c>
      <c r="AA122" s="374"/>
      <c r="AB122" s="381"/>
      <c r="AC122" s="142"/>
      <c r="AD122" s="378"/>
      <c r="AE122" s="305" t="str">
        <f>IFERROR(Table5[[#This Row],[Payment Limit 2018 Q3]]/Table5[[#This Row],[HCPCS code dosage 2018 Q3]],"")</f>
        <v/>
      </c>
      <c r="AF122" s="416"/>
      <c r="AG122" s="122"/>
      <c r="AH122" s="117"/>
      <c r="AI122" s="118"/>
      <c r="AJ122" s="118"/>
      <c r="AK122" s="132" t="str">
        <f>IFERROR(VLOOKUP(Table5[[#This Row],[HCPCS code 2019Q3]], ASP2019Q3[], 4, FALSE), "")</f>
        <v/>
      </c>
      <c r="AL122" s="72" t="str">
        <f>IFERROR(Table5[[#This Row],[Payment Limit 2019Q3]]/Table5[[#This Row],[HCPCS code dosage 2019Q3]], "")</f>
        <v/>
      </c>
      <c r="AM122" s="130"/>
      <c r="AN122" s="130"/>
      <c r="AO122" s="130"/>
      <c r="AP122" s="126" t="str">
        <f>IFERROR(VLOOKUP(Table5[[#This Row],[HCPCS code 2020Q1]], ASP2020Q1[], 4, FALSE), "")</f>
        <v/>
      </c>
      <c r="AQ122" s="77" t="str">
        <f>IFERROR(Table5[[#This Row],[Payment Limit 2020Q1]]/Table5[[#This Row],[HCPCS code dosage 2020Q1]], "")</f>
        <v/>
      </c>
      <c r="AR122" s="133"/>
      <c r="AS122" s="130"/>
      <c r="AT122" s="130"/>
      <c r="AU122" s="132" t="str">
        <f>IFERROR(VLOOKUP(Table5[[#This Row],[HCPCS code 2020Q3]], ASP2020Q3[], 4, FALSE), "")</f>
        <v/>
      </c>
      <c r="AV122" s="72" t="str">
        <f>IFERROR(Table5[[#This Row],[Payment limit 2020Q3]]/Table5[[#This Row],[HCPCS code dosage 2020Q3]],"")</f>
        <v/>
      </c>
      <c r="AW122" s="144"/>
      <c r="AX122" s="118"/>
      <c r="AY122" s="144"/>
      <c r="AZ122" s="144" t="str">
        <f>IFERROR(VLOOKUP(Table5[[#This Row],[HCPCS code 2021Q1]], ASP2021Q1[], 4, FALSE), "")</f>
        <v/>
      </c>
      <c r="BA122" s="122" t="str">
        <f>IFERROR(Table5[[#This Row],[Payment limit 2021Q1]]/Table5[[#This Row],[HCPCS code dosage 2021Q1]], "")</f>
        <v/>
      </c>
      <c r="BB122" s="147" t="s">
        <v>2002</v>
      </c>
      <c r="BC122" s="118">
        <v>0.5</v>
      </c>
      <c r="BD122" s="144" t="s">
        <v>1470</v>
      </c>
      <c r="BE122" s="144">
        <f>IFERROR(VLOOKUP(Table5[[#This Row],[HCPCS code 2021Q3]], ASP2021Q3[], 4, FALSE), "")</f>
        <v>314.214</v>
      </c>
      <c r="BF122" s="122">
        <f>IFERROR(Table5[[#This Row],[Payment limit 2021Q3]]/Table5[[#This Row],[HCPCS code dosage 2021Q3]], "")</f>
        <v>628.428</v>
      </c>
      <c r="BG122" s="147" t="s">
        <v>2002</v>
      </c>
      <c r="BH122" s="118">
        <v>0.5</v>
      </c>
      <c r="BI122" s="144" t="s">
        <v>1470</v>
      </c>
      <c r="BJ122" s="144">
        <f>IFERROR(VLOOKUP(Table5[[#This Row],[HCPCS code 2022Q1]], ASP2022Q1[], 4, FALSE), "")</f>
        <v>269.14100000000002</v>
      </c>
      <c r="BK122" s="122">
        <f>IFERROR(Table5[[#This Row],[Payment limit 2022Q1]]/Table5[[#This Row],[HCPCS code dosage 2022Q1]], "")</f>
        <v>538.28200000000004</v>
      </c>
      <c r="BL122" s="144" t="s">
        <v>2002</v>
      </c>
      <c r="BM122" s="184">
        <v>0.5</v>
      </c>
      <c r="BN122" s="144" t="s">
        <v>1470</v>
      </c>
      <c r="BO122" s="144">
        <f>IFERROR(VLOOKUP(Table5[[#This Row],[HCPCS Code 2022Q3]], ASP2022Q3[], 4, FALSE), "")</f>
        <v>217.685</v>
      </c>
      <c r="BP122" s="122">
        <f>IFERROR(Table5[[#This Row],[Payment limit 2022Q3]]/Table5[[#This Row],[HCPCS code dosage 2022Q3]], "")</f>
        <v>435.37</v>
      </c>
      <c r="BQ122" s="144"/>
      <c r="BR122" s="521"/>
      <c r="BS122" s="144"/>
      <c r="BT122" s="144"/>
      <c r="BU122" s="144" t="str">
        <f>IFERROR(Table5[[#This Row],[Payment limit 2023Q1]]/Table5[[#This Row],[HCPCS code dosage 2023Q1]], "")</f>
        <v/>
      </c>
      <c r="BV122" s="79"/>
    </row>
    <row r="123" spans="1:74" x14ac:dyDescent="0.3">
      <c r="A123" s="62" t="s">
        <v>93</v>
      </c>
      <c r="B123" s="286" t="s">
        <v>1291</v>
      </c>
      <c r="C123" s="286">
        <v>10</v>
      </c>
      <c r="D123" s="307" t="s">
        <v>1470</v>
      </c>
      <c r="E123" s="292">
        <f>IFERROR(VLOOKUP(Table5[[#This Row],[HCPCS code 2016 Q1]], ASP2016Q1[], 4, FALSE), "")</f>
        <v>55.354999999999997</v>
      </c>
      <c r="F123" s="303">
        <f>IFERROR(Table5[[#This Row],[Payment Limit 2016Q1]]/Table5[[#This Row],[HCPCS code dosage 2016Q1]], "")</f>
        <v>5.5354999999999999</v>
      </c>
      <c r="G123" s="286" t="s">
        <v>1291</v>
      </c>
      <c r="H123" s="286">
        <v>10</v>
      </c>
      <c r="I123" s="307" t="s">
        <v>1470</v>
      </c>
      <c r="J123" s="292">
        <f>IFERROR(VLOOKUP(Table5[[#This Row],[HCPCS code 2016 Q3]], ASP2016Q3[], 4, FALSE), "")</f>
        <v>56.292999999999999</v>
      </c>
      <c r="K123" s="303">
        <f>IFERROR(Table5[[#This Row],[Payment Limit 2016Q3]]/Table5[[#This Row],[HCPCS code dosage 2016Q3]], "")</f>
        <v>5.6292999999999997</v>
      </c>
      <c r="L123" s="286" t="s">
        <v>1291</v>
      </c>
      <c r="M123" s="286">
        <v>10</v>
      </c>
      <c r="N123" s="307" t="s">
        <v>1470</v>
      </c>
      <c r="O123" s="291">
        <f>IFERROR(VLOOKUP(Table5[[#This Row],[HCPCS code 2017 Q1]], ASP2017Q1[], 4, FALSE), "")</f>
        <v>57.424999999999997</v>
      </c>
      <c r="P123" s="302">
        <f>IFERROR(Table5[[#This Row],[Payment Limit 2017Q1]]/Table5[[#This Row],[HCPCS code dosage 2017Q1]], "")</f>
        <v>5.7424999999999997</v>
      </c>
      <c r="Q123" s="275" t="s">
        <v>1291</v>
      </c>
      <c r="R123" s="275">
        <v>10</v>
      </c>
      <c r="S123" s="275" t="s">
        <v>1470</v>
      </c>
      <c r="T123" s="279">
        <f>IFERROR(VLOOKUP(Table5[[#This Row],[HCPCS code 2017 Q3]], ASP2017Q3[], 4, FALSE), "")</f>
        <v>58.783999999999999</v>
      </c>
      <c r="U123" s="279">
        <f>IFERROR(Table5[[#This Row],[Payment Limit 2017Q3]]/Table5[[#This Row],[HCPCS code dosage 2017Q3]], "")</f>
        <v>5.8784000000000001</v>
      </c>
      <c r="V123" s="374" t="s">
        <v>1291</v>
      </c>
      <c r="W123" s="377">
        <v>10</v>
      </c>
      <c r="X123" s="142" t="s">
        <v>1470</v>
      </c>
      <c r="Y123" s="279">
        <v>60.639000000000003</v>
      </c>
      <c r="Z123" s="370">
        <f>IFERROR(Table5[[#This Row],[Payment Limit 2018 Q1]]/Table5[[#This Row],[HCPCS code dosage 2018 Q1]],"")</f>
        <v>6.0639000000000003</v>
      </c>
      <c r="AA123" s="374" t="s">
        <v>1291</v>
      </c>
      <c r="AB123" s="381">
        <v>10</v>
      </c>
      <c r="AC123" s="142" t="s">
        <v>1470</v>
      </c>
      <c r="AD123" s="378">
        <v>62.843000000000004</v>
      </c>
      <c r="AE123" s="370">
        <f>IFERROR(Table5[[#This Row],[Payment Limit 2018 Q3]]/Table5[[#This Row],[HCPCS code dosage 2018 Q3]],"")</f>
        <v>6.2843</v>
      </c>
      <c r="AF123" s="275" t="s">
        <v>1291</v>
      </c>
      <c r="AG123" s="122">
        <v>6.4620000000000006</v>
      </c>
      <c r="AH123" s="117" t="s">
        <v>1291</v>
      </c>
      <c r="AI123" s="118" t="s">
        <v>1664</v>
      </c>
      <c r="AJ123" s="118" t="s">
        <v>1470</v>
      </c>
      <c r="AK123" s="115">
        <f>IFERROR(VLOOKUP(Table5[[#This Row],[HCPCS code 2019Q3]], ASP2019Q3[], 4, FALSE), "")</f>
        <v>63.335999999999999</v>
      </c>
      <c r="AL123" s="72">
        <f>IFERROR(Table5[[#This Row],[Payment Limit 2019Q3]]/Table5[[#This Row],[HCPCS code dosage 2019Q3]], "")</f>
        <v>6.3335999999999997</v>
      </c>
      <c r="AM123" s="130" t="s">
        <v>1291</v>
      </c>
      <c r="AN123" s="130" t="s">
        <v>1664</v>
      </c>
      <c r="AO123" s="130" t="s">
        <v>1470</v>
      </c>
      <c r="AP123" s="126">
        <f>IFERROR(VLOOKUP(Table5[[#This Row],[HCPCS code 2020Q1]], ASP2020Q1[], 4, FALSE), "")</f>
        <v>63.515000000000001</v>
      </c>
      <c r="AQ123" s="77">
        <f>IFERROR(Table5[[#This Row],[Payment Limit 2020Q1]]/Table5[[#This Row],[HCPCS code dosage 2020Q1]], "")</f>
        <v>6.3514999999999997</v>
      </c>
      <c r="AR123" s="133" t="s">
        <v>1291</v>
      </c>
      <c r="AS123" s="130" t="s">
        <v>1664</v>
      </c>
      <c r="AT123" s="130" t="s">
        <v>1470</v>
      </c>
      <c r="AU123" s="132">
        <f>IFERROR(VLOOKUP(Table5[[#This Row],[HCPCS code 2020Q3]], ASP2020Q3[], 4, FALSE), "")</f>
        <v>64.191999999999993</v>
      </c>
      <c r="AV123" s="72">
        <f>IFERROR(Table5[[#This Row],[Payment limit 2020Q3]]/Table5[[#This Row],[HCPCS code dosage 2020Q3]],"")</f>
        <v>6.4191999999999991</v>
      </c>
      <c r="AW123" s="144" t="s">
        <v>1291</v>
      </c>
      <c r="AX123" s="118" t="s">
        <v>1664</v>
      </c>
      <c r="AY123" s="144" t="s">
        <v>1470</v>
      </c>
      <c r="AZ123" s="144">
        <f>IFERROR(VLOOKUP(Table5[[#This Row],[HCPCS code 2021Q1]], ASP2021Q1[], 4, FALSE), "")</f>
        <v>63.542999999999999</v>
      </c>
      <c r="BA123" s="122">
        <f>IFERROR(Table5[[#This Row],[Payment limit 2021Q1]]/Table5[[#This Row],[HCPCS code dosage 2021Q1]], "")</f>
        <v>6.3543000000000003</v>
      </c>
      <c r="BB123" s="147" t="s">
        <v>1291</v>
      </c>
      <c r="BC123" s="118" t="s">
        <v>1664</v>
      </c>
      <c r="BD123" s="144" t="s">
        <v>1470</v>
      </c>
      <c r="BE123" s="144">
        <f>IFERROR(VLOOKUP(Table5[[#This Row],[HCPCS code 2021Q3]], ASP2021Q3[], 4, FALSE), "")</f>
        <v>64.415999999999997</v>
      </c>
      <c r="BF123" s="122">
        <f>IFERROR(Table5[[#This Row],[Payment limit 2021Q3]]/Table5[[#This Row],[HCPCS code dosage 2021Q3]], "")</f>
        <v>6.4415999999999993</v>
      </c>
      <c r="BG123" s="147" t="s">
        <v>1291</v>
      </c>
      <c r="BH123" s="118" t="s">
        <v>1664</v>
      </c>
      <c r="BI123" s="144" t="s">
        <v>1470</v>
      </c>
      <c r="BJ123" s="144">
        <f>IFERROR(VLOOKUP(Table5[[#This Row],[HCPCS code 2022Q1]], ASP2022Q1[], 4, FALSE), "")</f>
        <v>64.108000000000004</v>
      </c>
      <c r="BK123" s="122">
        <f>IFERROR(Table5[[#This Row],[Payment limit 2022Q1]]/Table5[[#This Row],[HCPCS code dosage 2022Q1]], "")</f>
        <v>6.4108000000000001</v>
      </c>
      <c r="BL123" s="144" t="s">
        <v>1291</v>
      </c>
      <c r="BM123" s="184">
        <v>10</v>
      </c>
      <c r="BN123" s="144" t="s">
        <v>1470</v>
      </c>
      <c r="BO123" s="144">
        <f>IFERROR(VLOOKUP(Table5[[#This Row],[HCPCS Code 2022Q3]], ASP2022Q3[], 4, FALSE), "")</f>
        <v>66.004999999999995</v>
      </c>
      <c r="BP123" s="122">
        <f>IFERROR(Table5[[#This Row],[Payment limit 2022Q3]]/Table5[[#This Row],[HCPCS code dosage 2022Q3]], "")</f>
        <v>6.6004999999999994</v>
      </c>
      <c r="BQ123" s="144" t="s">
        <v>1291</v>
      </c>
      <c r="BR123" s="118">
        <v>10</v>
      </c>
      <c r="BS123" s="144" t="s">
        <v>1470</v>
      </c>
      <c r="BT123" s="144">
        <v>66.947999999999993</v>
      </c>
      <c r="BU123" s="144">
        <f>IFERROR(Table5[[#This Row],[Payment limit 2023Q1]]/Table5[[#This Row],[HCPCS code dosage 2023Q1]], "")</f>
        <v>6.694799999999999</v>
      </c>
      <c r="BV123" s="79"/>
    </row>
    <row r="124" spans="1:74" x14ac:dyDescent="0.3">
      <c r="A124" s="62" t="s">
        <v>143</v>
      </c>
      <c r="B124" s="286" t="s">
        <v>1293</v>
      </c>
      <c r="C124" s="286">
        <v>10</v>
      </c>
      <c r="D124" s="307" t="s">
        <v>1470</v>
      </c>
      <c r="E124" s="292">
        <f>IFERROR(VLOOKUP(Table5[[#This Row],[HCPCS code 2016 Q1]], ASP2016Q1[], 4, FALSE), "")</f>
        <v>50.527000000000001</v>
      </c>
      <c r="F124" s="303">
        <f>IFERROR(Table5[[#This Row],[Payment Limit 2016Q1]]/Table5[[#This Row],[HCPCS code dosage 2016Q1]], "")</f>
        <v>5.0526999999999997</v>
      </c>
      <c r="G124" s="286" t="s">
        <v>1293</v>
      </c>
      <c r="H124" s="286">
        <v>10</v>
      </c>
      <c r="I124" s="307" t="s">
        <v>1470</v>
      </c>
      <c r="J124" s="292">
        <f>IFERROR(VLOOKUP(Table5[[#This Row],[HCPCS code 2016 Q3]], ASP2016Q3[], 4, FALSE), "")</f>
        <v>51.963999999999999</v>
      </c>
      <c r="K124" s="303">
        <f>IFERROR(Table5[[#This Row],[Payment Limit 2016Q3]]/Table5[[#This Row],[HCPCS code dosage 2016Q3]], "")</f>
        <v>5.1963999999999997</v>
      </c>
      <c r="L124" s="286" t="s">
        <v>1293</v>
      </c>
      <c r="M124" s="286">
        <v>10</v>
      </c>
      <c r="N124" s="307" t="s">
        <v>1470</v>
      </c>
      <c r="O124" s="291">
        <f>IFERROR(VLOOKUP(Table5[[#This Row],[HCPCS code 2017 Q1]], ASP2017Q1[], 4, FALSE), "")</f>
        <v>53.259</v>
      </c>
      <c r="P124" s="302">
        <f>IFERROR(Table5[[#This Row],[Payment Limit 2017Q1]]/Table5[[#This Row],[HCPCS code dosage 2017Q1]], "")</f>
        <v>5.3258999999999999</v>
      </c>
      <c r="Q124" s="275" t="s">
        <v>1293</v>
      </c>
      <c r="R124" s="275">
        <v>10</v>
      </c>
      <c r="S124" s="275" t="s">
        <v>1470</v>
      </c>
      <c r="T124" s="279">
        <f>IFERROR(VLOOKUP(Table5[[#This Row],[HCPCS code 2017 Q3]], ASP2017Q3[], 4, FALSE), "")</f>
        <v>54.838999999999999</v>
      </c>
      <c r="U124" s="279">
        <f>IFERROR(Table5[[#This Row],[Payment Limit 2017Q3]]/Table5[[#This Row],[HCPCS code dosage 2017Q3]], "")</f>
        <v>5.4839000000000002</v>
      </c>
      <c r="V124" s="374" t="s">
        <v>1293</v>
      </c>
      <c r="W124" s="377">
        <v>10</v>
      </c>
      <c r="X124" s="142" t="s">
        <v>1470</v>
      </c>
      <c r="Y124" s="279">
        <v>56.468000000000004</v>
      </c>
      <c r="Z124" s="370">
        <f>IFERROR(Table5[[#This Row],[Payment Limit 2018 Q1]]/Table5[[#This Row],[HCPCS code dosage 2018 Q1]],"")</f>
        <v>5.6468000000000007</v>
      </c>
      <c r="AA124" s="374" t="s">
        <v>1293</v>
      </c>
      <c r="AB124" s="381">
        <v>10</v>
      </c>
      <c r="AC124" s="142" t="s">
        <v>1470</v>
      </c>
      <c r="AD124" s="378">
        <v>58.44</v>
      </c>
      <c r="AE124" s="370">
        <f>IFERROR(Table5[[#This Row],[Payment Limit 2018 Q3]]/Table5[[#This Row],[HCPCS code dosage 2018 Q3]],"")</f>
        <v>5.8439999999999994</v>
      </c>
      <c r="AF124" s="275" t="s">
        <v>1293</v>
      </c>
      <c r="AG124" s="122">
        <v>5.8493000000000004</v>
      </c>
      <c r="AH124" s="117" t="s">
        <v>1293</v>
      </c>
      <c r="AI124" s="118" t="s">
        <v>1664</v>
      </c>
      <c r="AJ124" s="118" t="s">
        <v>1470</v>
      </c>
      <c r="AK124" s="115">
        <f>IFERROR(VLOOKUP(Table5[[#This Row],[HCPCS code 2019Q3]], ASP2019Q3[], 4, FALSE), "")</f>
        <v>59.798000000000002</v>
      </c>
      <c r="AL124" s="72">
        <f>IFERROR(Table5[[#This Row],[Payment Limit 2019Q3]]/Table5[[#This Row],[HCPCS code dosage 2019Q3]], "")</f>
        <v>5.9798</v>
      </c>
      <c r="AM124" s="130" t="s">
        <v>1293</v>
      </c>
      <c r="AN124" s="130" t="s">
        <v>1664</v>
      </c>
      <c r="AO124" s="130" t="s">
        <v>1470</v>
      </c>
      <c r="AP124" s="126">
        <f>IFERROR(VLOOKUP(Table5[[#This Row],[HCPCS code 2020Q1]], ASP2020Q1[], 4, FALSE), "")</f>
        <v>60.081000000000003</v>
      </c>
      <c r="AQ124" s="77">
        <f>IFERROR(Table5[[#This Row],[Payment Limit 2020Q1]]/Table5[[#This Row],[HCPCS code dosage 2020Q1]], "")</f>
        <v>6.0081000000000007</v>
      </c>
      <c r="AR124" s="133" t="s">
        <v>1293</v>
      </c>
      <c r="AS124" s="130" t="s">
        <v>1664</v>
      </c>
      <c r="AT124" s="130" t="s">
        <v>1470</v>
      </c>
      <c r="AU124" s="132">
        <f>IFERROR(VLOOKUP(Table5[[#This Row],[HCPCS code 2020Q3]], ASP2020Q3[], 4, FALSE), "")</f>
        <v>61.844000000000001</v>
      </c>
      <c r="AV124" s="72">
        <f>IFERROR(Table5[[#This Row],[Payment limit 2020Q3]]/Table5[[#This Row],[HCPCS code dosage 2020Q3]],"")</f>
        <v>6.1844000000000001</v>
      </c>
      <c r="AW124" s="144" t="s">
        <v>1293</v>
      </c>
      <c r="AX124" s="118" t="s">
        <v>1664</v>
      </c>
      <c r="AY124" s="144" t="s">
        <v>1470</v>
      </c>
      <c r="AZ124" s="144">
        <f>IFERROR(VLOOKUP(Table5[[#This Row],[HCPCS code 2021Q1]], ASP2021Q1[], 4, FALSE), "")</f>
        <v>62.146999999999998</v>
      </c>
      <c r="BA124" s="122">
        <f>IFERROR(Table5[[#This Row],[Payment limit 2021Q1]]/Table5[[#This Row],[HCPCS code dosage 2021Q1]], "")</f>
        <v>6.2146999999999997</v>
      </c>
      <c r="BB124" s="147" t="s">
        <v>1293</v>
      </c>
      <c r="BC124" s="118" t="s">
        <v>1664</v>
      </c>
      <c r="BD124" s="144" t="s">
        <v>1470</v>
      </c>
      <c r="BE124" s="144">
        <f>IFERROR(VLOOKUP(Table5[[#This Row],[HCPCS code 2021Q3]], ASP2021Q3[], 4, FALSE), "")</f>
        <v>63.957000000000001</v>
      </c>
      <c r="BF124" s="122">
        <f>IFERROR(Table5[[#This Row],[Payment limit 2021Q3]]/Table5[[#This Row],[HCPCS code dosage 2021Q3]], "")</f>
        <v>6.3956999999999997</v>
      </c>
      <c r="BG124" s="147" t="s">
        <v>1293</v>
      </c>
      <c r="BH124" s="118" t="s">
        <v>1664</v>
      </c>
      <c r="BI124" s="144" t="s">
        <v>1470</v>
      </c>
      <c r="BJ124" s="144">
        <f>IFERROR(VLOOKUP(Table5[[#This Row],[HCPCS code 2022Q1]], ASP2022Q1[], 4, FALSE), "")</f>
        <v>63.957000000000001</v>
      </c>
      <c r="BK124" s="122">
        <f>IFERROR(Table5[[#This Row],[Payment limit 2022Q1]]/Table5[[#This Row],[HCPCS code dosage 2022Q1]], "")</f>
        <v>6.3956999999999997</v>
      </c>
      <c r="BL124" s="144" t="s">
        <v>1293</v>
      </c>
      <c r="BM124" s="184">
        <v>10</v>
      </c>
      <c r="BN124" s="144" t="s">
        <v>1470</v>
      </c>
      <c r="BO124" s="144">
        <f>IFERROR(VLOOKUP(Table5[[#This Row],[HCPCS Code 2022Q3]], ASP2022Q3[], 4, FALSE), "")</f>
        <v>63.957000000000001</v>
      </c>
      <c r="BP124" s="122">
        <f>IFERROR(Table5[[#This Row],[Payment limit 2022Q3]]/Table5[[#This Row],[HCPCS code dosage 2022Q3]], "")</f>
        <v>6.3956999999999997</v>
      </c>
      <c r="BQ124" s="144" t="s">
        <v>1293</v>
      </c>
      <c r="BR124" s="118">
        <v>10</v>
      </c>
      <c r="BS124" s="144" t="s">
        <v>1470</v>
      </c>
      <c r="BT124" s="144">
        <v>63.957000000000001</v>
      </c>
      <c r="BU124" s="144">
        <f>IFERROR(Table5[[#This Row],[Payment limit 2023Q1]]/Table5[[#This Row],[HCPCS code dosage 2023Q1]], "")</f>
        <v>6.3956999999999997</v>
      </c>
      <c r="BV124" s="79"/>
    </row>
    <row r="125" spans="1:74" x14ac:dyDescent="0.3">
      <c r="A125" s="69" t="s">
        <v>2864</v>
      </c>
      <c r="B125" s="273"/>
      <c r="C125" s="273"/>
      <c r="D125" s="275"/>
      <c r="E125" s="280" t="str">
        <f>IFERROR(VLOOKUP(Table5[[#This Row],[HCPCS code 2016 Q1]], ASP2016Q1[], 4, FALSE), "")</f>
        <v/>
      </c>
      <c r="F125" s="305" t="str">
        <f>IFERROR(Table5[[#This Row],[Payment Limit 2016Q1]]/Table5[[#This Row],[HCPCS code dosage 2016Q1]], "")</f>
        <v/>
      </c>
      <c r="G125" s="273"/>
      <c r="H125" s="273"/>
      <c r="I125" s="275"/>
      <c r="J125" s="280" t="str">
        <f>IFERROR(VLOOKUP(Table5[[#This Row],[HCPCS code 2016 Q3]], ASP2016Q3[], 4, FALSE), "")</f>
        <v/>
      </c>
      <c r="K125" s="305" t="str">
        <f>IFERROR(Table5[[#This Row],[Payment Limit 2016Q3]]/Table5[[#This Row],[HCPCS code dosage 2016Q3]], "")</f>
        <v/>
      </c>
      <c r="L125" s="273"/>
      <c r="M125" s="273"/>
      <c r="N125" s="275"/>
      <c r="O125" s="280" t="str">
        <f>IFERROR(VLOOKUP(Table5[[#This Row],[HCPCS code 2017 Q1]], ASP2017Q1[], 4, FALSE), "")</f>
        <v/>
      </c>
      <c r="P125" s="305" t="str">
        <f>IFERROR(Table5[[#This Row],[Payment Limit 2017Q1]]/Table5[[#This Row],[HCPCS code dosage 2017Q1]], "")</f>
        <v/>
      </c>
      <c r="Q125" s="416" t="s">
        <v>1283</v>
      </c>
      <c r="R125" s="416">
        <v>10</v>
      </c>
      <c r="S125" s="416" t="s">
        <v>1470</v>
      </c>
      <c r="T125" s="280" t="str">
        <f>IFERROR(VLOOKUP(Table5[[#This Row],[HCPCS code 2017 Q3]], ASP2017Q3[], 4, FALSE), "")</f>
        <v/>
      </c>
      <c r="U125" s="280" t="str">
        <f>IFERROR(Table5[[#This Row],[Payment Limit 2017Q3]]/Table5[[#This Row],[HCPCS code dosage 2017Q3]], "")</f>
        <v/>
      </c>
      <c r="V125" s="374" t="s">
        <v>1283</v>
      </c>
      <c r="W125" s="510">
        <v>10</v>
      </c>
      <c r="X125" s="416" t="s">
        <v>1470</v>
      </c>
      <c r="Y125" s="280">
        <v>49.95</v>
      </c>
      <c r="Z125" s="305">
        <f>IFERROR(Table5[[#This Row],[Payment Limit 2018 Q1]]/Table5[[#This Row],[HCPCS code dosage 2018 Q1]],"")</f>
        <v>4.9950000000000001</v>
      </c>
      <c r="AA125" s="374" t="s">
        <v>1283</v>
      </c>
      <c r="AB125" s="381">
        <v>10</v>
      </c>
      <c r="AC125" s="142" t="s">
        <v>1470</v>
      </c>
      <c r="AD125" s="378">
        <v>51.036000000000001</v>
      </c>
      <c r="AE125" s="305">
        <f>IFERROR(Table5[[#This Row],[Payment Limit 2018 Q3]]/Table5[[#This Row],[HCPCS code dosage 2018 Q3]],"")</f>
        <v>5.1036000000000001</v>
      </c>
      <c r="AF125" s="416"/>
      <c r="AG125" s="122"/>
      <c r="AH125" s="117"/>
      <c r="AI125" s="118"/>
      <c r="AJ125" s="118"/>
      <c r="AK125" s="132" t="str">
        <f>IFERROR(VLOOKUP(Table5[[#This Row],[HCPCS code 2019Q3]], ASP2019Q3[], 4, FALSE), "")</f>
        <v/>
      </c>
      <c r="AL125" s="72" t="str">
        <f>IFERROR(Table5[[#This Row],[Payment Limit 2019Q3]]/Table5[[#This Row],[HCPCS code dosage 2019Q3]], "")</f>
        <v/>
      </c>
      <c r="AM125" s="130"/>
      <c r="AN125" s="130"/>
      <c r="AO125" s="130"/>
      <c r="AP125" s="126" t="str">
        <f>IFERROR(VLOOKUP(Table5[[#This Row],[HCPCS code 2020Q1]], ASP2020Q1[], 4, FALSE), "")</f>
        <v/>
      </c>
      <c r="AQ125" s="77" t="str">
        <f>IFERROR(Table5[[#This Row],[Payment Limit 2020Q1]]/Table5[[#This Row],[HCPCS code dosage 2020Q1]], "")</f>
        <v/>
      </c>
      <c r="AR125" s="133"/>
      <c r="AS125" s="130"/>
      <c r="AT125" s="130"/>
      <c r="AU125" s="132" t="str">
        <f>IFERROR(VLOOKUP(Table5[[#This Row],[HCPCS code 2020Q3]], ASP2020Q3[], 4, FALSE), "")</f>
        <v/>
      </c>
      <c r="AV125" s="72" t="str">
        <f>IFERROR(Table5[[#This Row],[Payment limit 2020Q3]]/Table5[[#This Row],[HCPCS code dosage 2020Q3]],"")</f>
        <v/>
      </c>
      <c r="AW125" s="144"/>
      <c r="AX125" s="118"/>
      <c r="AY125" s="144"/>
      <c r="AZ125" s="144" t="str">
        <f>IFERROR(VLOOKUP(Table5[[#This Row],[HCPCS code 2021Q1]], ASP2021Q1[], 4, FALSE), "")</f>
        <v/>
      </c>
      <c r="BA125" s="122" t="str">
        <f>IFERROR(Table5[[#This Row],[Payment limit 2021Q1]]/Table5[[#This Row],[HCPCS code dosage 2021Q1]], "")</f>
        <v/>
      </c>
      <c r="BB125" s="147"/>
      <c r="BC125" s="118"/>
      <c r="BD125" s="144"/>
      <c r="BE125" s="144" t="str">
        <f>IFERROR(VLOOKUP(Table5[[#This Row],[HCPCS code 2021Q3]], ASP2021Q3[], 4, FALSE), "")</f>
        <v/>
      </c>
      <c r="BF125" s="122" t="str">
        <f>IFERROR(Table5[[#This Row],[Payment limit 2021Q3]]/Table5[[#This Row],[HCPCS code dosage 2021Q3]], "")</f>
        <v/>
      </c>
      <c r="BG125" s="147"/>
      <c r="BH125" s="118"/>
      <c r="BI125" s="144"/>
      <c r="BJ125" s="144" t="str">
        <f>IFERROR(VLOOKUP(Table5[[#This Row],[HCPCS code 2022Q1]], ASP2022Q1[], 4, FALSE), "")</f>
        <v/>
      </c>
      <c r="BK125" s="122" t="str">
        <f>IFERROR(Table5[[#This Row],[Payment limit 2022Q1]]/Table5[[#This Row],[HCPCS code dosage 2022Q1]], "")</f>
        <v/>
      </c>
      <c r="BL125" s="144"/>
      <c r="BM125" s="184"/>
      <c r="BN125" s="144"/>
      <c r="BO125" s="144" t="str">
        <f>IFERROR(VLOOKUP(Table5[[#This Row],[HCPCS Code 2022Q3]], ASP2022Q3[], 4, FALSE), "")</f>
        <v/>
      </c>
      <c r="BP125" s="122" t="str">
        <f>IFERROR(Table5[[#This Row],[Payment limit 2022Q3]]/Table5[[#This Row],[HCPCS code dosage 2022Q3]], "")</f>
        <v/>
      </c>
      <c r="BQ125" s="144"/>
      <c r="BR125" s="521"/>
      <c r="BS125" s="144"/>
      <c r="BT125" s="144"/>
      <c r="BU125" s="144" t="str">
        <f>IFERROR(Table5[[#This Row],[Payment limit 2023Q1]]/Table5[[#This Row],[HCPCS code dosage 2023Q1]], "")</f>
        <v/>
      </c>
      <c r="BV125" s="79"/>
    </row>
    <row r="126" spans="1:74" x14ac:dyDescent="0.3">
      <c r="A126" s="69" t="s">
        <v>1711</v>
      </c>
      <c r="B126" s="273" t="s">
        <v>739</v>
      </c>
      <c r="C126" s="273">
        <v>1</v>
      </c>
      <c r="D126" s="275" t="s">
        <v>1470</v>
      </c>
      <c r="E126" s="280">
        <f>IFERROR(VLOOKUP(Table5[[#This Row],[HCPCS code 2016 Q1]], ASP2016Q1[], 4, FALSE), "")</f>
        <v>9.8000000000000004E-2</v>
      </c>
      <c r="F126" s="305">
        <f>IFERROR(Table5[[#This Row],[Payment Limit 2016Q1]]/Table5[[#This Row],[HCPCS code dosage 2016Q1]], "")</f>
        <v>9.8000000000000004E-2</v>
      </c>
      <c r="G126" s="273" t="s">
        <v>739</v>
      </c>
      <c r="H126" s="273">
        <v>1</v>
      </c>
      <c r="I126" s="275" t="s">
        <v>1470</v>
      </c>
      <c r="J126" s="280">
        <f>IFERROR(VLOOKUP(Table5[[#This Row],[HCPCS code 2016 Q3]], ASP2016Q3[], 4, FALSE), "")</f>
        <v>8.5000000000000006E-2</v>
      </c>
      <c r="K126" s="305">
        <f>IFERROR(Table5[[#This Row],[Payment Limit 2016Q3]]/Table5[[#This Row],[HCPCS code dosage 2016Q3]], "")</f>
        <v>8.5000000000000006E-2</v>
      </c>
      <c r="L126" s="273" t="s">
        <v>739</v>
      </c>
      <c r="M126" s="273">
        <v>1</v>
      </c>
      <c r="N126" s="275" t="s">
        <v>1470</v>
      </c>
      <c r="O126" s="291">
        <f>IFERROR(VLOOKUP(Table5[[#This Row],[HCPCS code 2017 Q1]], ASP2017Q1[], 4, FALSE), "")</f>
        <v>8.5000000000000006E-2</v>
      </c>
      <c r="P126" s="302">
        <f>IFERROR(Table5[[#This Row],[Payment Limit 2017Q1]]/Table5[[#This Row],[HCPCS code dosage 2017Q1]], "")</f>
        <v>8.5000000000000006E-2</v>
      </c>
      <c r="Q126" s="275" t="s">
        <v>739</v>
      </c>
      <c r="R126" s="275">
        <v>1</v>
      </c>
      <c r="S126" s="275" t="s">
        <v>1470</v>
      </c>
      <c r="T126" s="280">
        <f>IFERROR(VLOOKUP(Table5[[#This Row],[HCPCS code 2017 Q3]], ASP2017Q3[], 4, FALSE), "")</f>
        <v>9.2999999999999999E-2</v>
      </c>
      <c r="U126" s="280">
        <f>IFERROR(Table5[[#This Row],[Payment Limit 2017Q3]]/Table5[[#This Row],[HCPCS code dosage 2017Q3]], "")</f>
        <v>9.2999999999999999E-2</v>
      </c>
      <c r="V126" s="374" t="s">
        <v>739</v>
      </c>
      <c r="W126" s="377">
        <v>1</v>
      </c>
      <c r="X126" s="142" t="s">
        <v>1470</v>
      </c>
      <c r="Y126" s="280">
        <v>8.4000000000000005E-2</v>
      </c>
      <c r="Z126" s="305">
        <f>IFERROR(Table5[[#This Row],[Payment Limit 2018 Q1]]/Table5[[#This Row],[HCPCS code dosage 2018 Q1]],"")</f>
        <v>8.4000000000000005E-2</v>
      </c>
      <c r="AA126" s="374" t="s">
        <v>739</v>
      </c>
      <c r="AB126" s="381">
        <v>1</v>
      </c>
      <c r="AC126" s="142" t="s">
        <v>1470</v>
      </c>
      <c r="AD126" s="378">
        <v>7.9000000000000001E-2</v>
      </c>
      <c r="AE126" s="305">
        <f>IFERROR(Table5[[#This Row],[Payment Limit 2018 Q3]]/Table5[[#This Row],[HCPCS code dosage 2018 Q3]],"")</f>
        <v>7.9000000000000001E-2</v>
      </c>
      <c r="AF126" s="273" t="s">
        <v>739</v>
      </c>
      <c r="AG126" s="122">
        <v>0.17</v>
      </c>
      <c r="AH126" s="117" t="s">
        <v>739</v>
      </c>
      <c r="AI126" s="118">
        <v>1</v>
      </c>
      <c r="AJ126" s="118" t="s">
        <v>1470</v>
      </c>
      <c r="AK126" s="115">
        <f>IFERROR(VLOOKUP(Table5[[#This Row],[HCPCS code 2019Q3]], ASP2019Q3[], 4, FALSE), "")</f>
        <v>0.123</v>
      </c>
      <c r="AL126" s="72">
        <f>IFERROR(Table5[[#This Row],[Payment Limit 2019Q3]]/Table5[[#This Row],[HCPCS code dosage 2019Q3]], "")</f>
        <v>0.123</v>
      </c>
      <c r="AM126" s="130" t="s">
        <v>739</v>
      </c>
      <c r="AN126" s="130">
        <v>1</v>
      </c>
      <c r="AO126" s="130" t="s">
        <v>1470</v>
      </c>
      <c r="AP126" s="126">
        <f>IFERROR(VLOOKUP(Table5[[#This Row],[HCPCS code 2020Q1]], ASP2020Q1[], 4, FALSE), "")</f>
        <v>9.0999999999999998E-2</v>
      </c>
      <c r="AQ126" s="77">
        <f>IFERROR(Table5[[#This Row],[Payment Limit 2020Q1]]/Table5[[#This Row],[HCPCS code dosage 2020Q1]], "")</f>
        <v>9.0999999999999998E-2</v>
      </c>
      <c r="AR126" s="133" t="s">
        <v>739</v>
      </c>
      <c r="AS126" s="130">
        <v>1</v>
      </c>
      <c r="AT126" s="130" t="s">
        <v>1470</v>
      </c>
      <c r="AU126" s="132">
        <f>IFERROR(VLOOKUP(Table5[[#This Row],[HCPCS code 2020Q3]], ASP2020Q3[], 4, FALSE), "")</f>
        <v>9.6000000000000002E-2</v>
      </c>
      <c r="AV126" s="72">
        <f>IFERROR(Table5[[#This Row],[Payment limit 2020Q3]]/Table5[[#This Row],[HCPCS code dosage 2020Q3]],"")</f>
        <v>9.6000000000000002E-2</v>
      </c>
      <c r="AW126" s="144" t="s">
        <v>739</v>
      </c>
      <c r="AX126" s="118">
        <v>1</v>
      </c>
      <c r="AY126" s="144" t="s">
        <v>1470</v>
      </c>
      <c r="AZ126" s="144">
        <f>IFERROR(VLOOKUP(Table5[[#This Row],[HCPCS code 2021Q1]], ASP2021Q1[], 4, FALSE), "")</f>
        <v>9.2999999999999999E-2</v>
      </c>
      <c r="BA126" s="122">
        <f>IFERROR(Table5[[#This Row],[Payment limit 2021Q1]]/Table5[[#This Row],[HCPCS code dosage 2021Q1]], "")</f>
        <v>9.2999999999999999E-2</v>
      </c>
      <c r="BB126" s="147" t="s">
        <v>739</v>
      </c>
      <c r="BC126" s="118">
        <v>1</v>
      </c>
      <c r="BD126" s="144" t="s">
        <v>1470</v>
      </c>
      <c r="BE126" s="144">
        <f>IFERROR(VLOOKUP(Table5[[#This Row],[HCPCS code 2021Q3]], ASP2021Q3[], 4, FALSE), "")</f>
        <v>0.09</v>
      </c>
      <c r="BF126" s="122">
        <f>IFERROR(Table5[[#This Row],[Payment limit 2021Q3]]/Table5[[#This Row],[HCPCS code dosage 2021Q3]], "")</f>
        <v>0.09</v>
      </c>
      <c r="BG126" s="147" t="s">
        <v>739</v>
      </c>
      <c r="BH126" s="118">
        <v>1</v>
      </c>
      <c r="BI126" s="144" t="s">
        <v>1470</v>
      </c>
      <c r="BJ126" s="144">
        <f>IFERROR(VLOOKUP(Table5[[#This Row],[HCPCS code 2022Q1]], ASP2022Q1[], 4, FALSE), "")</f>
        <v>8.4000000000000005E-2</v>
      </c>
      <c r="BK126" s="122">
        <f>IFERROR(Table5[[#This Row],[Payment limit 2022Q1]]/Table5[[#This Row],[HCPCS code dosage 2022Q1]], "")</f>
        <v>8.4000000000000005E-2</v>
      </c>
      <c r="BL126" s="144" t="s">
        <v>739</v>
      </c>
      <c r="BM126" s="184">
        <v>1</v>
      </c>
      <c r="BN126" s="144" t="s">
        <v>1470</v>
      </c>
      <c r="BO126" s="144">
        <f>IFERROR(VLOOKUP(Table5[[#This Row],[HCPCS Code 2022Q3]], ASP2022Q3[], 4, FALSE), "")</f>
        <v>8.5999999999999993E-2</v>
      </c>
      <c r="BP126" s="122">
        <f>IFERROR(Table5[[#This Row],[Payment limit 2022Q3]]/Table5[[#This Row],[HCPCS code dosage 2022Q3]], "")</f>
        <v>8.5999999999999993E-2</v>
      </c>
      <c r="BQ126" s="144" t="s">
        <v>739</v>
      </c>
      <c r="BR126" s="118">
        <v>1</v>
      </c>
      <c r="BS126" s="144" t="s">
        <v>1470</v>
      </c>
      <c r="BT126" s="144">
        <v>9.2999999999999999E-2</v>
      </c>
      <c r="BU126" s="144">
        <f>IFERROR(Table5[[#This Row],[Payment limit 2023Q1]]/Table5[[#This Row],[HCPCS code dosage 2023Q1]], "")</f>
        <v>9.2999999999999999E-2</v>
      </c>
      <c r="BV126" s="79"/>
    </row>
    <row r="127" spans="1:74" x14ac:dyDescent="0.3">
      <c r="A127" s="69" t="s">
        <v>1706</v>
      </c>
      <c r="B127" s="273" t="s">
        <v>1360</v>
      </c>
      <c r="C127" s="273">
        <v>1</v>
      </c>
      <c r="D127" s="275" t="s">
        <v>1470</v>
      </c>
      <c r="E127" s="280">
        <f>IFERROR(VLOOKUP(Table5[[#This Row],[HCPCS code 2016 Q1]], ASP2016Q1[], 4, FALSE), "")</f>
        <v>2.9000000000000001E-2</v>
      </c>
      <c r="F127" s="305">
        <f>IFERROR(Table5[[#This Row],[Payment Limit 2016Q1]]/Table5[[#This Row],[HCPCS code dosage 2016Q1]], "")</f>
        <v>2.9000000000000001E-2</v>
      </c>
      <c r="G127" s="273" t="s">
        <v>1360</v>
      </c>
      <c r="H127" s="273">
        <v>1</v>
      </c>
      <c r="I127" s="275" t="s">
        <v>1470</v>
      </c>
      <c r="J127" s="280">
        <f>IFERROR(VLOOKUP(Table5[[#This Row],[HCPCS code 2016 Q3]], ASP2016Q3[], 4, FALSE), "")</f>
        <v>2.8000000000000001E-2</v>
      </c>
      <c r="K127" s="305">
        <f>IFERROR(Table5[[#This Row],[Payment Limit 2016Q3]]/Table5[[#This Row],[HCPCS code dosage 2016Q3]], "")</f>
        <v>2.8000000000000001E-2</v>
      </c>
      <c r="L127" s="273" t="s">
        <v>1360</v>
      </c>
      <c r="M127" s="273">
        <v>1</v>
      </c>
      <c r="N127" s="275" t="s">
        <v>1470</v>
      </c>
      <c r="O127" s="291">
        <f>IFERROR(VLOOKUP(Table5[[#This Row],[HCPCS code 2017 Q1]], ASP2017Q1[], 4, FALSE), "")</f>
        <v>3.7999999999999999E-2</v>
      </c>
      <c r="P127" s="302">
        <f>IFERROR(Table5[[#This Row],[Payment Limit 2017Q1]]/Table5[[#This Row],[HCPCS code dosage 2017Q1]], "")</f>
        <v>3.7999999999999999E-2</v>
      </c>
      <c r="Q127" s="275" t="s">
        <v>1360</v>
      </c>
      <c r="R127" s="275">
        <v>1</v>
      </c>
      <c r="S127" s="275" t="s">
        <v>1470</v>
      </c>
      <c r="T127" s="280">
        <f>IFERROR(VLOOKUP(Table5[[#This Row],[HCPCS code 2017 Q3]], ASP2017Q3[], 4, FALSE), "")</f>
        <v>3.5000000000000003E-2</v>
      </c>
      <c r="U127" s="280">
        <f>IFERROR(Table5[[#This Row],[Payment Limit 2017Q3]]/Table5[[#This Row],[HCPCS code dosage 2017Q3]], "")</f>
        <v>3.5000000000000003E-2</v>
      </c>
      <c r="V127" s="374" t="s">
        <v>1360</v>
      </c>
      <c r="W127" s="377">
        <v>1</v>
      </c>
      <c r="X127" s="142" t="s">
        <v>1470</v>
      </c>
      <c r="Y127" s="280">
        <v>2.9000000000000001E-2</v>
      </c>
      <c r="Z127" s="305">
        <f>IFERROR(Table5[[#This Row],[Payment Limit 2018 Q1]]/Table5[[#This Row],[HCPCS code dosage 2018 Q1]],"")</f>
        <v>2.9000000000000001E-2</v>
      </c>
      <c r="AA127" s="374" t="s">
        <v>1360</v>
      </c>
      <c r="AB127" s="381">
        <v>1</v>
      </c>
      <c r="AC127" s="142" t="s">
        <v>1470</v>
      </c>
      <c r="AD127" s="378">
        <v>4.2000000000000003E-2</v>
      </c>
      <c r="AE127" s="305">
        <f>IFERROR(Table5[[#This Row],[Payment Limit 2018 Q3]]/Table5[[#This Row],[HCPCS code dosage 2018 Q3]],"")</f>
        <v>4.2000000000000003E-2</v>
      </c>
      <c r="AF127" s="273" t="s">
        <v>1360</v>
      </c>
      <c r="AG127" s="122">
        <v>2.5999999999999999E-2</v>
      </c>
      <c r="AH127" s="117" t="s">
        <v>1360</v>
      </c>
      <c r="AI127" s="118">
        <v>1</v>
      </c>
      <c r="AJ127" s="118" t="s">
        <v>1470</v>
      </c>
      <c r="AK127" s="115">
        <f>IFERROR(VLOOKUP(Table5[[#This Row],[HCPCS code 2019Q3]], ASP2019Q3[], 4, FALSE), "")</f>
        <v>2.7E-2</v>
      </c>
      <c r="AL127" s="72">
        <f>IFERROR(Table5[[#This Row],[Payment Limit 2019Q3]]/Table5[[#This Row],[HCPCS code dosage 2019Q3]], "")</f>
        <v>2.7E-2</v>
      </c>
      <c r="AM127" s="130" t="s">
        <v>1360</v>
      </c>
      <c r="AN127" s="130">
        <v>1</v>
      </c>
      <c r="AO127" s="130" t="s">
        <v>1470</v>
      </c>
      <c r="AP127" s="126">
        <f>IFERROR(VLOOKUP(Table5[[#This Row],[HCPCS code 2020Q1]], ASP2020Q1[], 4, FALSE), "")</f>
        <v>1.7999999999999999E-2</v>
      </c>
      <c r="AQ127" s="77">
        <f>IFERROR(Table5[[#This Row],[Payment Limit 2020Q1]]/Table5[[#This Row],[HCPCS code dosage 2020Q1]], "")</f>
        <v>1.7999999999999999E-2</v>
      </c>
      <c r="AR127" s="133" t="s">
        <v>1360</v>
      </c>
      <c r="AS127" s="130">
        <v>1</v>
      </c>
      <c r="AT127" s="130" t="s">
        <v>1470</v>
      </c>
      <c r="AU127" s="132">
        <f>IFERROR(VLOOKUP(Table5[[#This Row],[HCPCS code 2020Q3]], ASP2020Q3[], 4, FALSE), "")</f>
        <v>1.7999999999999999E-2</v>
      </c>
      <c r="AV127" s="72">
        <f>IFERROR(Table5[[#This Row],[Payment limit 2020Q3]]/Table5[[#This Row],[HCPCS code dosage 2020Q3]],"")</f>
        <v>1.7999999999999999E-2</v>
      </c>
      <c r="AW127" s="144" t="s">
        <v>1360</v>
      </c>
      <c r="AX127" s="118">
        <v>1</v>
      </c>
      <c r="AY127" s="144" t="s">
        <v>1470</v>
      </c>
      <c r="AZ127" s="144">
        <f>IFERROR(VLOOKUP(Table5[[#This Row],[HCPCS code 2021Q1]], ASP2021Q1[], 4, FALSE), "")</f>
        <v>1.6E-2</v>
      </c>
      <c r="BA127" s="122">
        <f>IFERROR(Table5[[#This Row],[Payment limit 2021Q1]]/Table5[[#This Row],[HCPCS code dosage 2021Q1]], "")</f>
        <v>1.6E-2</v>
      </c>
      <c r="BB127" s="147" t="s">
        <v>1360</v>
      </c>
      <c r="BC127" s="118">
        <v>1</v>
      </c>
      <c r="BD127" s="144" t="s">
        <v>1470</v>
      </c>
      <c r="BE127" s="144">
        <f>IFERROR(VLOOKUP(Table5[[#This Row],[HCPCS code 2021Q3]], ASP2021Q3[], 4, FALSE), "")</f>
        <v>1.6E-2</v>
      </c>
      <c r="BF127" s="122">
        <f>IFERROR(Table5[[#This Row],[Payment limit 2021Q3]]/Table5[[#This Row],[HCPCS code dosage 2021Q3]], "")</f>
        <v>1.6E-2</v>
      </c>
      <c r="BG127" s="147" t="s">
        <v>1360</v>
      </c>
      <c r="BH127" s="118">
        <v>1</v>
      </c>
      <c r="BI127" s="144" t="s">
        <v>1470</v>
      </c>
      <c r="BJ127" s="144">
        <f>IFERROR(VLOOKUP(Table5[[#This Row],[HCPCS code 2022Q1]], ASP2022Q1[], 4, FALSE), "")</f>
        <v>1.4999999999999999E-2</v>
      </c>
      <c r="BK127" s="122">
        <f>IFERROR(Table5[[#This Row],[Payment limit 2022Q1]]/Table5[[#This Row],[HCPCS code dosage 2022Q1]], "")</f>
        <v>1.4999999999999999E-2</v>
      </c>
      <c r="BL127" s="144" t="s">
        <v>1360</v>
      </c>
      <c r="BM127" s="184">
        <v>1</v>
      </c>
      <c r="BN127" s="144" t="s">
        <v>1470</v>
      </c>
      <c r="BO127" s="144">
        <f>IFERROR(VLOOKUP(Table5[[#This Row],[HCPCS Code 2022Q3]], ASP2022Q3[], 4, FALSE), "")</f>
        <v>1.0999999999999999E-2</v>
      </c>
      <c r="BP127" s="122">
        <f>IFERROR(Table5[[#This Row],[Payment limit 2022Q3]]/Table5[[#This Row],[HCPCS code dosage 2022Q3]], "")</f>
        <v>1.0999999999999999E-2</v>
      </c>
      <c r="BQ127" s="144" t="s">
        <v>1360</v>
      </c>
      <c r="BR127" s="118">
        <v>1</v>
      </c>
      <c r="BS127" s="144" t="s">
        <v>1470</v>
      </c>
      <c r="BT127" s="144">
        <v>1.2E-2</v>
      </c>
      <c r="BU127" s="144">
        <f>IFERROR(Table5[[#This Row],[Payment limit 2023Q1]]/Table5[[#This Row],[HCPCS code dosage 2023Q1]], "")</f>
        <v>1.2E-2</v>
      </c>
      <c r="BV127" s="79"/>
    </row>
    <row r="128" spans="1:74" x14ac:dyDescent="0.3">
      <c r="A128" s="62" t="s">
        <v>70</v>
      </c>
      <c r="B128" s="286" t="s">
        <v>1268</v>
      </c>
      <c r="C128" s="286">
        <v>0.5</v>
      </c>
      <c r="D128" s="307" t="s">
        <v>1470</v>
      </c>
      <c r="E128" s="292">
        <f>IFERROR(VLOOKUP(Table5[[#This Row],[HCPCS code 2016 Q1]], ASP2016Q1[], 4, FALSE), "")</f>
        <v>0.38700000000000001</v>
      </c>
      <c r="F128" s="303">
        <f>IFERROR(Table5[[#This Row],[Payment Limit 2016Q1]]/Table5[[#This Row],[HCPCS code dosage 2016Q1]], "")</f>
        <v>0.77400000000000002</v>
      </c>
      <c r="G128" s="286" t="s">
        <v>1268</v>
      </c>
      <c r="H128" s="286">
        <v>0.5</v>
      </c>
      <c r="I128" s="307" t="s">
        <v>1470</v>
      </c>
      <c r="J128" s="292">
        <f>IFERROR(VLOOKUP(Table5[[#This Row],[HCPCS code 2016 Q3]], ASP2016Q3[], 4, FALSE), "")</f>
        <v>0.3</v>
      </c>
      <c r="K128" s="303">
        <f>IFERROR(Table5[[#This Row],[Payment Limit 2016Q3]]/Table5[[#This Row],[HCPCS code dosage 2016Q3]], "")</f>
        <v>0.6</v>
      </c>
      <c r="L128" s="286" t="s">
        <v>1268</v>
      </c>
      <c r="M128" s="286">
        <v>0.5</v>
      </c>
      <c r="N128" s="307" t="s">
        <v>1470</v>
      </c>
      <c r="O128" s="291">
        <f>IFERROR(VLOOKUP(Table5[[#This Row],[HCPCS code 2017 Q1]], ASP2017Q1[], 4, FALSE), "")</f>
        <v>0.32</v>
      </c>
      <c r="P128" s="302">
        <f>IFERROR(Table5[[#This Row],[Payment Limit 2017Q1]]/Table5[[#This Row],[HCPCS code dosage 2017Q1]], "")</f>
        <v>0.64</v>
      </c>
      <c r="Q128" s="275" t="s">
        <v>1268</v>
      </c>
      <c r="R128" s="275">
        <v>0.5</v>
      </c>
      <c r="S128" s="275" t="s">
        <v>1470</v>
      </c>
      <c r="T128" s="279">
        <f>IFERROR(VLOOKUP(Table5[[#This Row],[HCPCS code 2017 Q3]], ASP2017Q3[], 4, FALSE), "")</f>
        <v>0.17799999999999999</v>
      </c>
      <c r="U128" s="279">
        <f>IFERROR(Table5[[#This Row],[Payment Limit 2017Q3]]/Table5[[#This Row],[HCPCS code dosage 2017Q3]], "")</f>
        <v>0.35599999999999998</v>
      </c>
      <c r="V128" s="374" t="s">
        <v>1268</v>
      </c>
      <c r="W128" s="377">
        <v>0.5</v>
      </c>
      <c r="X128" s="142" t="s">
        <v>1470</v>
      </c>
      <c r="Y128" s="279">
        <v>0.19600000000000001</v>
      </c>
      <c r="Z128" s="370">
        <f>IFERROR(Table5[[#This Row],[Payment Limit 2018 Q1]]/Table5[[#This Row],[HCPCS code dosage 2018 Q1]],"")</f>
        <v>0.39200000000000002</v>
      </c>
      <c r="AA128" s="374" t="s">
        <v>1268</v>
      </c>
      <c r="AB128" s="381">
        <v>0.5</v>
      </c>
      <c r="AC128" s="142" t="s">
        <v>1470</v>
      </c>
      <c r="AD128" s="378">
        <v>0.20499999999999999</v>
      </c>
      <c r="AE128" s="370">
        <f>IFERROR(Table5[[#This Row],[Payment Limit 2018 Q3]]/Table5[[#This Row],[HCPCS code dosage 2018 Q3]],"")</f>
        <v>0.41</v>
      </c>
      <c r="AF128" s="275" t="s">
        <v>1268</v>
      </c>
      <c r="AG128" s="122">
        <v>0.374</v>
      </c>
      <c r="AH128" s="117" t="s">
        <v>1268</v>
      </c>
      <c r="AI128" s="118" t="s">
        <v>1675</v>
      </c>
      <c r="AJ128" s="118" t="s">
        <v>1470</v>
      </c>
      <c r="AK128" s="115">
        <f>IFERROR(VLOOKUP(Table5[[#This Row],[HCPCS code 2019Q3]], ASP2019Q3[], 4, FALSE), "")</f>
        <v>0.126</v>
      </c>
      <c r="AL128" s="140">
        <f>IFERROR(Table5[[#This Row],[Payment Limit 2019Q3]]/Table5[[#This Row],[HCPCS code dosage 2019Q3]], "")</f>
        <v>0.252</v>
      </c>
      <c r="AM128" s="130" t="s">
        <v>1268</v>
      </c>
      <c r="AN128" s="130" t="s">
        <v>1675</v>
      </c>
      <c r="AO128" s="130" t="s">
        <v>1470</v>
      </c>
      <c r="AP128" s="126">
        <f>IFERROR(VLOOKUP(Table5[[#This Row],[HCPCS code 2020Q1]], ASP2020Q1[], 4, FALSE), "")</f>
        <v>0.153</v>
      </c>
      <c r="AQ128" s="141">
        <f>IFERROR(Table5[[#This Row],[Payment Limit 2020Q1]]/Table5[[#This Row],[HCPCS code dosage 2020Q1]], "")</f>
        <v>0.30599999999999999</v>
      </c>
      <c r="AR128" s="133" t="s">
        <v>1268</v>
      </c>
      <c r="AS128" s="130" t="s">
        <v>1675</v>
      </c>
      <c r="AT128" s="130" t="s">
        <v>1470</v>
      </c>
      <c r="AU128" s="132">
        <f>IFERROR(VLOOKUP(Table5[[#This Row],[HCPCS code 2020Q3]], ASP2020Q3[], 4, FALSE), "")</f>
        <v>0.14899999999999999</v>
      </c>
      <c r="AV128" s="140">
        <f>IFERROR(Table5[[#This Row],[Payment limit 2020Q3]]/Table5[[#This Row],[HCPCS code dosage 2020Q3]],"")</f>
        <v>0.29799999999999999</v>
      </c>
      <c r="AW128" s="145" t="s">
        <v>1268</v>
      </c>
      <c r="AX128" s="150" t="s">
        <v>1675</v>
      </c>
      <c r="AY128" s="145" t="s">
        <v>1470</v>
      </c>
      <c r="AZ128" s="145">
        <f>IFERROR(VLOOKUP(Table5[[#This Row],[HCPCS code 2021Q1]], ASP2021Q1[], 4, FALSE), "")</f>
        <v>0.115</v>
      </c>
      <c r="BA128" s="72">
        <f>IFERROR(Table5[[#This Row],[Payment limit 2021Q1]]/Table5[[#This Row],[HCPCS code dosage 2021Q1]], "")</f>
        <v>0.23</v>
      </c>
      <c r="BB128" s="147" t="s">
        <v>1268</v>
      </c>
      <c r="BC128" s="150" t="s">
        <v>1675</v>
      </c>
      <c r="BD128" s="145" t="s">
        <v>1470</v>
      </c>
      <c r="BE128" s="145">
        <f>IFERROR(VLOOKUP(Table5[[#This Row],[HCPCS code 2021Q3]], ASP2021Q3[], 4, FALSE), "")</f>
        <v>0.11</v>
      </c>
      <c r="BF128" s="72">
        <f>IFERROR(Table5[[#This Row],[Payment limit 2021Q3]]/Table5[[#This Row],[HCPCS code dosage 2021Q3]], "")</f>
        <v>0.22</v>
      </c>
      <c r="BG128" s="147" t="s">
        <v>1268</v>
      </c>
      <c r="BH128" s="150" t="s">
        <v>1675</v>
      </c>
      <c r="BI128" s="145" t="s">
        <v>1470</v>
      </c>
      <c r="BJ128" s="145">
        <f>IFERROR(VLOOKUP(Table5[[#This Row],[HCPCS code 2022Q1]], ASP2022Q1[], 4, FALSE), "")</f>
        <v>7.3999999999999996E-2</v>
      </c>
      <c r="BK128" s="72">
        <f>IFERROR(Table5[[#This Row],[Payment limit 2022Q1]]/Table5[[#This Row],[HCPCS code dosage 2022Q1]], "")</f>
        <v>0.14799999999999999</v>
      </c>
      <c r="BL128" s="144" t="s">
        <v>1268</v>
      </c>
      <c r="BM128" s="184">
        <v>0.5</v>
      </c>
      <c r="BN128" s="144" t="s">
        <v>1470</v>
      </c>
      <c r="BO128" s="144">
        <f>IFERROR(VLOOKUP(Table5[[#This Row],[HCPCS Code 2022Q3]], ASP2022Q3[], 4, FALSE), "")</f>
        <v>5.8999999999999997E-2</v>
      </c>
      <c r="BP128" s="122">
        <f>IFERROR(Table5[[#This Row],[Payment limit 2022Q3]]/Table5[[#This Row],[HCPCS code dosage 2022Q3]], "")</f>
        <v>0.11799999999999999</v>
      </c>
      <c r="BQ128" s="144" t="s">
        <v>1268</v>
      </c>
      <c r="BR128" s="118">
        <v>0.5</v>
      </c>
      <c r="BS128" s="144" t="s">
        <v>1470</v>
      </c>
      <c r="BT128" s="144">
        <v>7.6999999999999999E-2</v>
      </c>
      <c r="BU128" s="144">
        <f>IFERROR(Table5[[#This Row],[Payment limit 2023Q1]]/Table5[[#This Row],[HCPCS code dosage 2023Q1]], "")</f>
        <v>0.154</v>
      </c>
      <c r="BV128" s="79"/>
    </row>
    <row r="129" spans="1:74" x14ac:dyDescent="0.3">
      <c r="A129" s="62" t="s">
        <v>179</v>
      </c>
      <c r="B129" s="286" t="s">
        <v>1275</v>
      </c>
      <c r="C129" s="286">
        <v>1</v>
      </c>
      <c r="D129" s="307" t="s">
        <v>1470</v>
      </c>
      <c r="E129" s="292">
        <f>IFERROR(VLOOKUP(Table5[[#This Row],[HCPCS code 2016 Q1]], ASP2016Q1[], 4, FALSE), "")</f>
        <v>0.153</v>
      </c>
      <c r="F129" s="303">
        <f>IFERROR(Table5[[#This Row],[Payment Limit 2016Q1]]/Table5[[#This Row],[HCPCS code dosage 2016Q1]], "")</f>
        <v>0.153</v>
      </c>
      <c r="G129" s="286" t="s">
        <v>1275</v>
      </c>
      <c r="H129" s="286">
        <v>1</v>
      </c>
      <c r="I129" s="307" t="s">
        <v>1470</v>
      </c>
      <c r="J129" s="292">
        <f>IFERROR(VLOOKUP(Table5[[#This Row],[HCPCS code 2016 Q3]], ASP2016Q3[], 4, FALSE), "")</f>
        <v>0.14399999999999999</v>
      </c>
      <c r="K129" s="303">
        <f>IFERROR(Table5[[#This Row],[Payment Limit 2016Q3]]/Table5[[#This Row],[HCPCS code dosage 2016Q3]], "")</f>
        <v>0.14399999999999999</v>
      </c>
      <c r="L129" s="286" t="s">
        <v>1275</v>
      </c>
      <c r="M129" s="286">
        <v>1</v>
      </c>
      <c r="N129" s="307" t="s">
        <v>1470</v>
      </c>
      <c r="O129" s="291">
        <f>IFERROR(VLOOKUP(Table5[[#This Row],[HCPCS code 2017 Q1]], ASP2017Q1[], 4, FALSE), "")</f>
        <v>0.182</v>
      </c>
      <c r="P129" s="302">
        <f>IFERROR(Table5[[#This Row],[Payment Limit 2017Q1]]/Table5[[#This Row],[HCPCS code dosage 2017Q1]], "")</f>
        <v>0.182</v>
      </c>
      <c r="Q129" s="275" t="s">
        <v>1275</v>
      </c>
      <c r="R129" s="275">
        <v>1</v>
      </c>
      <c r="S129" s="275" t="s">
        <v>1470</v>
      </c>
      <c r="T129" s="279">
        <f>IFERROR(VLOOKUP(Table5[[#This Row],[HCPCS code 2017 Q3]], ASP2017Q3[], 4, FALSE), "")</f>
        <v>0.14399999999999999</v>
      </c>
      <c r="U129" s="279">
        <f>IFERROR(Table5[[#This Row],[Payment Limit 2017Q3]]/Table5[[#This Row],[HCPCS code dosage 2017Q3]], "")</f>
        <v>0.14399999999999999</v>
      </c>
      <c r="V129" s="374" t="s">
        <v>1275</v>
      </c>
      <c r="W129" s="377">
        <v>1</v>
      </c>
      <c r="X129" s="142" t="s">
        <v>1470</v>
      </c>
      <c r="Y129" s="279">
        <v>0.123</v>
      </c>
      <c r="Z129" s="370">
        <f>IFERROR(Table5[[#This Row],[Payment Limit 2018 Q1]]/Table5[[#This Row],[HCPCS code dosage 2018 Q1]],"")</f>
        <v>0.123</v>
      </c>
      <c r="AA129" s="374" t="s">
        <v>1275</v>
      </c>
      <c r="AB129" s="381">
        <v>1</v>
      </c>
      <c r="AC129" s="142" t="s">
        <v>1470</v>
      </c>
      <c r="AD129" s="378">
        <v>0.129</v>
      </c>
      <c r="AE129" s="370">
        <f>IFERROR(Table5[[#This Row],[Payment Limit 2018 Q3]]/Table5[[#This Row],[HCPCS code dosage 2018 Q3]],"")</f>
        <v>0.129</v>
      </c>
      <c r="AF129" s="275" t="s">
        <v>1275</v>
      </c>
      <c r="AG129" s="122">
        <v>0.154</v>
      </c>
      <c r="AH129" s="117" t="s">
        <v>1275</v>
      </c>
      <c r="AI129" s="118" t="s">
        <v>1665</v>
      </c>
      <c r="AJ129" s="118" t="s">
        <v>1470</v>
      </c>
      <c r="AK129" s="115">
        <f>IFERROR(VLOOKUP(Table5[[#This Row],[HCPCS code 2019Q3]], ASP2019Q3[], 4, FALSE), "")</f>
        <v>0.13500000000000001</v>
      </c>
      <c r="AL129" s="140">
        <f>IFERROR(Table5[[#This Row],[Payment Limit 2019Q3]]/Table5[[#This Row],[HCPCS code dosage 2019Q3]], "")</f>
        <v>0.13500000000000001</v>
      </c>
      <c r="AM129" s="130" t="s">
        <v>1275</v>
      </c>
      <c r="AN129" s="130" t="s">
        <v>1665</v>
      </c>
      <c r="AO129" s="130" t="s">
        <v>1470</v>
      </c>
      <c r="AP129" s="126">
        <f>IFERROR(VLOOKUP(Table5[[#This Row],[HCPCS code 2020Q1]], ASP2020Q1[], 4, FALSE), "")</f>
        <v>0.13800000000000001</v>
      </c>
      <c r="AQ129" s="141">
        <f>IFERROR(Table5[[#This Row],[Payment Limit 2020Q1]]/Table5[[#This Row],[HCPCS code dosage 2020Q1]], "")</f>
        <v>0.13800000000000001</v>
      </c>
      <c r="AR129" s="133" t="s">
        <v>1275</v>
      </c>
      <c r="AS129" s="130" t="s">
        <v>1665</v>
      </c>
      <c r="AT129" s="130" t="s">
        <v>1470</v>
      </c>
      <c r="AU129" s="132">
        <f>IFERROR(VLOOKUP(Table5[[#This Row],[HCPCS code 2020Q3]], ASP2020Q3[], 4, FALSE), "")</f>
        <v>0.161</v>
      </c>
      <c r="AV129" s="140">
        <f>IFERROR(Table5[[#This Row],[Payment limit 2020Q3]]/Table5[[#This Row],[HCPCS code dosage 2020Q3]],"")</f>
        <v>0.161</v>
      </c>
      <c r="AW129" s="145" t="s">
        <v>1275</v>
      </c>
      <c r="AX129" s="150" t="s">
        <v>1665</v>
      </c>
      <c r="AY129" s="145" t="s">
        <v>1470</v>
      </c>
      <c r="AZ129" s="145">
        <f>IFERROR(VLOOKUP(Table5[[#This Row],[HCPCS code 2021Q1]], ASP2021Q1[], 4, FALSE), "")</f>
        <v>0.154</v>
      </c>
      <c r="BA129" s="72">
        <f>IFERROR(Table5[[#This Row],[Payment limit 2021Q1]]/Table5[[#This Row],[HCPCS code dosage 2021Q1]], "")</f>
        <v>0.154</v>
      </c>
      <c r="BB129" s="147" t="s">
        <v>1275</v>
      </c>
      <c r="BC129" s="150" t="s">
        <v>1665</v>
      </c>
      <c r="BD129" s="145" t="s">
        <v>1470</v>
      </c>
      <c r="BE129" s="145">
        <f>IFERROR(VLOOKUP(Table5[[#This Row],[HCPCS code 2021Q3]], ASP2021Q3[], 4, FALSE), "")</f>
        <v>0.13400000000000001</v>
      </c>
      <c r="BF129" s="72">
        <f>IFERROR(Table5[[#This Row],[Payment limit 2021Q3]]/Table5[[#This Row],[HCPCS code dosage 2021Q3]], "")</f>
        <v>0.13400000000000001</v>
      </c>
      <c r="BG129" s="147" t="s">
        <v>1275</v>
      </c>
      <c r="BH129" s="150" t="s">
        <v>1665</v>
      </c>
      <c r="BI129" s="145" t="s">
        <v>1470</v>
      </c>
      <c r="BJ129" s="145">
        <f>IFERROR(VLOOKUP(Table5[[#This Row],[HCPCS code 2022Q1]], ASP2022Q1[], 4, FALSE), "")</f>
        <v>0.124</v>
      </c>
      <c r="BK129" s="72">
        <f>IFERROR(Table5[[#This Row],[Payment limit 2022Q1]]/Table5[[#This Row],[HCPCS code dosage 2022Q1]], "")</f>
        <v>0.124</v>
      </c>
      <c r="BL129" s="144" t="s">
        <v>1275</v>
      </c>
      <c r="BM129" s="184">
        <v>1</v>
      </c>
      <c r="BN129" s="144" t="s">
        <v>1470</v>
      </c>
      <c r="BO129" s="144">
        <f>IFERROR(VLOOKUP(Table5[[#This Row],[HCPCS Code 2022Q3]], ASP2022Q3[], 4, FALSE), "")</f>
        <v>0.124</v>
      </c>
      <c r="BP129" s="122">
        <f>IFERROR(Table5[[#This Row],[Payment limit 2022Q3]]/Table5[[#This Row],[HCPCS code dosage 2022Q3]], "")</f>
        <v>0.124</v>
      </c>
      <c r="BQ129" s="144" t="s">
        <v>1275</v>
      </c>
      <c r="BR129" s="118">
        <v>1</v>
      </c>
      <c r="BS129" s="144" t="s">
        <v>1470</v>
      </c>
      <c r="BT129" s="144">
        <v>0.115</v>
      </c>
      <c r="BU129" s="144">
        <f>IFERROR(Table5[[#This Row],[Payment limit 2023Q1]]/Table5[[#This Row],[HCPCS code dosage 2023Q1]], "")</f>
        <v>0.115</v>
      </c>
      <c r="BV129" s="79"/>
    </row>
    <row r="130" spans="1:74" x14ac:dyDescent="0.3">
      <c r="A130" s="62" t="s">
        <v>6</v>
      </c>
      <c r="B130" s="286" t="s">
        <v>1275</v>
      </c>
      <c r="C130" s="286">
        <v>1</v>
      </c>
      <c r="D130" s="307" t="s">
        <v>1470</v>
      </c>
      <c r="E130" s="292">
        <f>IFERROR(VLOOKUP(Table5[[#This Row],[HCPCS code 2016 Q1]], ASP2016Q1[], 4, FALSE), "")</f>
        <v>0.153</v>
      </c>
      <c r="F130" s="303">
        <f>IFERROR(Table5[[#This Row],[Payment Limit 2016Q1]]/Table5[[#This Row],[HCPCS code dosage 2016Q1]], "")</f>
        <v>0.153</v>
      </c>
      <c r="G130" s="286" t="s">
        <v>1275</v>
      </c>
      <c r="H130" s="286">
        <v>1</v>
      </c>
      <c r="I130" s="307" t="s">
        <v>1470</v>
      </c>
      <c r="J130" s="292">
        <f>IFERROR(VLOOKUP(Table5[[#This Row],[HCPCS code 2016 Q3]], ASP2016Q3[], 4, FALSE), "")</f>
        <v>0.14399999999999999</v>
      </c>
      <c r="K130" s="303">
        <f>IFERROR(Table5[[#This Row],[Payment Limit 2016Q3]]/Table5[[#This Row],[HCPCS code dosage 2016Q3]], "")</f>
        <v>0.14399999999999999</v>
      </c>
      <c r="L130" s="286" t="s">
        <v>1275</v>
      </c>
      <c r="M130" s="286">
        <v>1</v>
      </c>
      <c r="N130" s="307" t="s">
        <v>1470</v>
      </c>
      <c r="O130" s="291">
        <f>IFERROR(VLOOKUP(Table5[[#This Row],[HCPCS code 2017 Q1]], ASP2017Q1[], 4, FALSE), "")</f>
        <v>0.182</v>
      </c>
      <c r="P130" s="302">
        <f>IFERROR(Table5[[#This Row],[Payment Limit 2017Q1]]/Table5[[#This Row],[HCPCS code dosage 2017Q1]], "")</f>
        <v>0.182</v>
      </c>
      <c r="Q130" s="275" t="s">
        <v>1275</v>
      </c>
      <c r="R130" s="275">
        <v>1</v>
      </c>
      <c r="S130" s="275" t="s">
        <v>1470</v>
      </c>
      <c r="T130" s="279">
        <f>IFERROR(VLOOKUP(Table5[[#This Row],[HCPCS code 2017 Q3]], ASP2017Q3[], 4, FALSE), "")</f>
        <v>0.14399999999999999</v>
      </c>
      <c r="U130" s="279">
        <f>IFERROR(Table5[[#This Row],[Payment Limit 2017Q3]]/Table5[[#This Row],[HCPCS code dosage 2017Q3]], "")</f>
        <v>0.14399999999999999</v>
      </c>
      <c r="V130" s="374" t="s">
        <v>1275</v>
      </c>
      <c r="W130" s="377">
        <v>1</v>
      </c>
      <c r="X130" s="142" t="s">
        <v>1470</v>
      </c>
      <c r="Y130" s="279">
        <v>0.123</v>
      </c>
      <c r="Z130" s="370">
        <f>IFERROR(Table5[[#This Row],[Payment Limit 2018 Q1]]/Table5[[#This Row],[HCPCS code dosage 2018 Q1]],"")</f>
        <v>0.123</v>
      </c>
      <c r="AA130" s="374" t="s">
        <v>1275</v>
      </c>
      <c r="AB130" s="381">
        <v>1</v>
      </c>
      <c r="AC130" s="142" t="s">
        <v>1470</v>
      </c>
      <c r="AD130" s="378">
        <v>0.129</v>
      </c>
      <c r="AE130" s="370">
        <f>IFERROR(Table5[[#This Row],[Payment Limit 2018 Q3]]/Table5[[#This Row],[HCPCS code dosage 2018 Q3]],"")</f>
        <v>0.129</v>
      </c>
      <c r="AF130" s="275" t="s">
        <v>1275</v>
      </c>
      <c r="AG130" s="144">
        <v>0.154</v>
      </c>
      <c r="AH130" s="117" t="s">
        <v>1275</v>
      </c>
      <c r="AI130" s="118" t="s">
        <v>1665</v>
      </c>
      <c r="AJ130" s="118" t="s">
        <v>1470</v>
      </c>
      <c r="AK130" s="115">
        <f>IFERROR(VLOOKUP(Table5[[#This Row],[HCPCS code 2019Q3]], ASP2019Q3[], 4, FALSE), "")</f>
        <v>0.13500000000000001</v>
      </c>
      <c r="AL130" s="140">
        <f>IFERROR(Table5[[#This Row],[Payment Limit 2019Q3]]/Table5[[#This Row],[HCPCS code dosage 2019Q3]], "")</f>
        <v>0.13500000000000001</v>
      </c>
      <c r="AM130" s="130" t="s">
        <v>1275</v>
      </c>
      <c r="AN130" s="130" t="s">
        <v>1665</v>
      </c>
      <c r="AO130" s="130" t="s">
        <v>1470</v>
      </c>
      <c r="AP130" s="126">
        <f>IFERROR(VLOOKUP(Table5[[#This Row],[HCPCS code 2020Q1]], ASP2020Q1[], 4, FALSE), "")</f>
        <v>0.13800000000000001</v>
      </c>
      <c r="AQ130" s="141">
        <f>IFERROR(Table5[[#This Row],[Payment Limit 2020Q1]]/Table5[[#This Row],[HCPCS code dosage 2020Q1]], "")</f>
        <v>0.13800000000000001</v>
      </c>
      <c r="AR130" s="133" t="s">
        <v>1275</v>
      </c>
      <c r="AS130" s="130" t="s">
        <v>1665</v>
      </c>
      <c r="AT130" s="130" t="s">
        <v>1470</v>
      </c>
      <c r="AU130" s="132">
        <f>IFERROR(VLOOKUP(Table5[[#This Row],[HCPCS code 2020Q3]], ASP2020Q3[], 4, FALSE), "")</f>
        <v>0.161</v>
      </c>
      <c r="AV130" s="140">
        <f>IFERROR(Table5[[#This Row],[Payment limit 2020Q3]]/Table5[[#This Row],[HCPCS code dosage 2020Q3]],"")</f>
        <v>0.161</v>
      </c>
      <c r="AW130" s="145" t="s">
        <v>1275</v>
      </c>
      <c r="AX130" s="150" t="s">
        <v>1665</v>
      </c>
      <c r="AY130" s="145" t="s">
        <v>1470</v>
      </c>
      <c r="AZ130" s="145">
        <f>IFERROR(VLOOKUP(Table5[[#This Row],[HCPCS code 2021Q1]], ASP2021Q1[], 4, FALSE), "")</f>
        <v>0.154</v>
      </c>
      <c r="BA130" s="72">
        <f>IFERROR(Table5[[#This Row],[Payment limit 2021Q1]]/Table5[[#This Row],[HCPCS code dosage 2021Q1]], "")</f>
        <v>0.154</v>
      </c>
      <c r="BB130" s="147" t="s">
        <v>1275</v>
      </c>
      <c r="BC130" s="150" t="s">
        <v>1665</v>
      </c>
      <c r="BD130" s="145" t="s">
        <v>1470</v>
      </c>
      <c r="BE130" s="145">
        <f>IFERROR(VLOOKUP(Table5[[#This Row],[HCPCS code 2021Q3]], ASP2021Q3[], 4, FALSE), "")</f>
        <v>0.13400000000000001</v>
      </c>
      <c r="BF130" s="72">
        <f>IFERROR(Table5[[#This Row],[Payment limit 2021Q3]]/Table5[[#This Row],[HCPCS code dosage 2021Q3]], "")</f>
        <v>0.13400000000000001</v>
      </c>
      <c r="BG130" s="147" t="s">
        <v>1275</v>
      </c>
      <c r="BH130" s="150" t="s">
        <v>1665</v>
      </c>
      <c r="BI130" s="145" t="s">
        <v>1470</v>
      </c>
      <c r="BJ130" s="145">
        <f>IFERROR(VLOOKUP(Table5[[#This Row],[HCPCS code 2022Q1]], ASP2022Q1[], 4, FALSE), "")</f>
        <v>0.124</v>
      </c>
      <c r="BK130" s="72">
        <f>IFERROR(Table5[[#This Row],[Payment limit 2022Q1]]/Table5[[#This Row],[HCPCS code dosage 2022Q1]], "")</f>
        <v>0.124</v>
      </c>
      <c r="BL130" s="144" t="s">
        <v>1275</v>
      </c>
      <c r="BM130" s="184">
        <v>1</v>
      </c>
      <c r="BN130" s="144" t="s">
        <v>1470</v>
      </c>
      <c r="BO130" s="144">
        <f>IFERROR(VLOOKUP(Table5[[#This Row],[HCPCS Code 2022Q3]], ASP2022Q3[], 4, FALSE), "")</f>
        <v>0.124</v>
      </c>
      <c r="BP130" s="122">
        <f>IFERROR(Table5[[#This Row],[Payment limit 2022Q3]]/Table5[[#This Row],[HCPCS code dosage 2022Q3]], "")</f>
        <v>0.124</v>
      </c>
      <c r="BQ130" s="144" t="s">
        <v>1275</v>
      </c>
      <c r="BR130" s="118">
        <v>1</v>
      </c>
      <c r="BS130" s="144" t="s">
        <v>1470</v>
      </c>
      <c r="BT130" s="144">
        <v>0.115</v>
      </c>
      <c r="BU130" s="144">
        <f>IFERROR(Table5[[#This Row],[Payment limit 2023Q1]]/Table5[[#This Row],[HCPCS code dosage 2023Q1]], "")</f>
        <v>0.115</v>
      </c>
      <c r="BV130" s="79"/>
    </row>
    <row r="131" spans="1:74" x14ac:dyDescent="0.3">
      <c r="A131" s="62" t="s">
        <v>1648</v>
      </c>
      <c r="B131" s="286" t="s">
        <v>1275</v>
      </c>
      <c r="C131" s="286">
        <v>1</v>
      </c>
      <c r="D131" s="307" t="s">
        <v>1470</v>
      </c>
      <c r="E131" s="292">
        <f>IFERROR(VLOOKUP(Table5[[#This Row],[HCPCS code 2016 Q1]], ASP2016Q1[], 4, FALSE), "")</f>
        <v>0.153</v>
      </c>
      <c r="F131" s="303">
        <f>IFERROR(Table5[[#This Row],[Payment Limit 2016Q1]]/Table5[[#This Row],[HCPCS code dosage 2016Q1]], "")</f>
        <v>0.153</v>
      </c>
      <c r="G131" s="286" t="s">
        <v>1275</v>
      </c>
      <c r="H131" s="286">
        <v>1</v>
      </c>
      <c r="I131" s="307" t="s">
        <v>1470</v>
      </c>
      <c r="J131" s="292">
        <f>IFERROR(VLOOKUP(Table5[[#This Row],[HCPCS code 2016 Q3]], ASP2016Q3[], 4, FALSE), "")</f>
        <v>0.14399999999999999</v>
      </c>
      <c r="K131" s="303">
        <f>IFERROR(Table5[[#This Row],[Payment Limit 2016Q3]]/Table5[[#This Row],[HCPCS code dosage 2016Q3]], "")</f>
        <v>0.14399999999999999</v>
      </c>
      <c r="L131" s="286" t="s">
        <v>1275</v>
      </c>
      <c r="M131" s="286">
        <v>1</v>
      </c>
      <c r="N131" s="307" t="s">
        <v>1470</v>
      </c>
      <c r="O131" s="291">
        <f>IFERROR(VLOOKUP(Table5[[#This Row],[HCPCS code 2017 Q1]], ASP2017Q1[], 4, FALSE), "")</f>
        <v>0.182</v>
      </c>
      <c r="P131" s="302">
        <f>IFERROR(Table5[[#This Row],[Payment Limit 2017Q1]]/Table5[[#This Row],[HCPCS code dosage 2017Q1]], "")</f>
        <v>0.182</v>
      </c>
      <c r="Q131" s="275" t="s">
        <v>1275</v>
      </c>
      <c r="R131" s="275">
        <v>1</v>
      </c>
      <c r="S131" s="275" t="s">
        <v>1470</v>
      </c>
      <c r="T131" s="279">
        <f>IFERROR(VLOOKUP(Table5[[#This Row],[HCPCS code 2017 Q3]], ASP2017Q3[], 4, FALSE), "")</f>
        <v>0.14399999999999999</v>
      </c>
      <c r="U131" s="279">
        <f>IFERROR(Table5[[#This Row],[Payment Limit 2017Q3]]/Table5[[#This Row],[HCPCS code dosage 2017Q3]], "")</f>
        <v>0.14399999999999999</v>
      </c>
      <c r="V131" s="374" t="s">
        <v>1275</v>
      </c>
      <c r="W131" s="377">
        <v>1</v>
      </c>
      <c r="X131" s="142" t="s">
        <v>1470</v>
      </c>
      <c r="Y131" s="279">
        <v>0.123</v>
      </c>
      <c r="Z131" s="370">
        <f>IFERROR(Table5[[#This Row],[Payment Limit 2018 Q1]]/Table5[[#This Row],[HCPCS code dosage 2018 Q1]],"")</f>
        <v>0.123</v>
      </c>
      <c r="AA131" s="374" t="s">
        <v>1275</v>
      </c>
      <c r="AB131" s="381">
        <v>1</v>
      </c>
      <c r="AC131" s="142" t="s">
        <v>1470</v>
      </c>
      <c r="AD131" s="378">
        <v>0.129</v>
      </c>
      <c r="AE131" s="370">
        <f>IFERROR(Table5[[#This Row],[Payment Limit 2018 Q3]]/Table5[[#This Row],[HCPCS code dosage 2018 Q3]],"")</f>
        <v>0.129</v>
      </c>
      <c r="AF131" s="275" t="s">
        <v>1275</v>
      </c>
      <c r="AG131" s="122">
        <v>0.154</v>
      </c>
      <c r="AH131" s="117" t="s">
        <v>1275</v>
      </c>
      <c r="AI131" s="118" t="s">
        <v>1665</v>
      </c>
      <c r="AJ131" s="118" t="s">
        <v>1470</v>
      </c>
      <c r="AK131" s="115">
        <f>IFERROR(VLOOKUP(Table5[[#This Row],[HCPCS code 2019Q3]], ASP2019Q3[], 4, FALSE), "")</f>
        <v>0.13500000000000001</v>
      </c>
      <c r="AL131" s="140">
        <f>IFERROR(Table5[[#This Row],[Payment Limit 2019Q3]]/Table5[[#This Row],[HCPCS code dosage 2019Q3]], "")</f>
        <v>0.13500000000000001</v>
      </c>
      <c r="AM131" s="130" t="s">
        <v>1275</v>
      </c>
      <c r="AN131" s="130" t="s">
        <v>1665</v>
      </c>
      <c r="AO131" s="130" t="s">
        <v>1470</v>
      </c>
      <c r="AP131" s="126">
        <f>IFERROR(VLOOKUP(Table5[[#This Row],[HCPCS code 2020Q1]], ASP2020Q1[], 4, FALSE), "")</f>
        <v>0.13800000000000001</v>
      </c>
      <c r="AQ131" s="141">
        <f>IFERROR(Table5[[#This Row],[Payment Limit 2020Q1]]/Table5[[#This Row],[HCPCS code dosage 2020Q1]], "")</f>
        <v>0.13800000000000001</v>
      </c>
      <c r="AR131" s="133" t="s">
        <v>1275</v>
      </c>
      <c r="AS131" s="130" t="s">
        <v>1665</v>
      </c>
      <c r="AT131" s="130" t="s">
        <v>1470</v>
      </c>
      <c r="AU131" s="132">
        <f>IFERROR(VLOOKUP(Table5[[#This Row],[HCPCS code 2020Q3]], ASP2020Q3[], 4, FALSE), "")</f>
        <v>0.161</v>
      </c>
      <c r="AV131" s="140">
        <f>IFERROR(Table5[[#This Row],[Payment limit 2020Q3]]/Table5[[#This Row],[HCPCS code dosage 2020Q3]],"")</f>
        <v>0.161</v>
      </c>
      <c r="AW131" s="145" t="s">
        <v>1275</v>
      </c>
      <c r="AX131" s="150" t="s">
        <v>1665</v>
      </c>
      <c r="AY131" s="145" t="s">
        <v>1470</v>
      </c>
      <c r="AZ131" s="145">
        <f>IFERROR(VLOOKUP(Table5[[#This Row],[HCPCS code 2021Q1]], ASP2021Q1[], 4, FALSE), "")</f>
        <v>0.154</v>
      </c>
      <c r="BA131" s="72">
        <f>IFERROR(Table5[[#This Row],[Payment limit 2021Q1]]/Table5[[#This Row],[HCPCS code dosage 2021Q1]], "")</f>
        <v>0.154</v>
      </c>
      <c r="BB131" s="147" t="s">
        <v>1275</v>
      </c>
      <c r="BC131" s="150" t="s">
        <v>1665</v>
      </c>
      <c r="BD131" s="145" t="s">
        <v>1470</v>
      </c>
      <c r="BE131" s="145">
        <f>IFERROR(VLOOKUP(Table5[[#This Row],[HCPCS code 2021Q3]], ASP2021Q3[], 4, FALSE), "")</f>
        <v>0.13400000000000001</v>
      </c>
      <c r="BF131" s="72">
        <f>IFERROR(Table5[[#This Row],[Payment limit 2021Q3]]/Table5[[#This Row],[HCPCS code dosage 2021Q3]], "")</f>
        <v>0.13400000000000001</v>
      </c>
      <c r="BG131" s="147" t="s">
        <v>1275</v>
      </c>
      <c r="BH131" s="150" t="s">
        <v>1665</v>
      </c>
      <c r="BI131" s="145" t="s">
        <v>1470</v>
      </c>
      <c r="BJ131" s="145">
        <f>IFERROR(VLOOKUP(Table5[[#This Row],[HCPCS code 2022Q1]], ASP2022Q1[], 4, FALSE), "")</f>
        <v>0.124</v>
      </c>
      <c r="BK131" s="72">
        <f>IFERROR(Table5[[#This Row],[Payment limit 2022Q1]]/Table5[[#This Row],[HCPCS code dosage 2022Q1]], "")</f>
        <v>0.124</v>
      </c>
      <c r="BL131" s="144" t="s">
        <v>1275</v>
      </c>
      <c r="BM131" s="184">
        <v>1</v>
      </c>
      <c r="BN131" s="144" t="s">
        <v>1470</v>
      </c>
      <c r="BO131" s="144">
        <f>IFERROR(VLOOKUP(Table5[[#This Row],[HCPCS Code 2022Q3]], ASP2022Q3[], 4, FALSE), "")</f>
        <v>0.124</v>
      </c>
      <c r="BP131" s="122">
        <f>IFERROR(Table5[[#This Row],[Payment limit 2022Q3]]/Table5[[#This Row],[HCPCS code dosage 2022Q3]], "")</f>
        <v>0.124</v>
      </c>
      <c r="BQ131" s="144" t="s">
        <v>1275</v>
      </c>
      <c r="BR131" s="118">
        <v>1</v>
      </c>
      <c r="BS131" s="144" t="s">
        <v>1470</v>
      </c>
      <c r="BT131" s="144">
        <v>0.115</v>
      </c>
      <c r="BU131" s="144">
        <f>IFERROR(Table5[[#This Row],[Payment limit 2023Q1]]/Table5[[#This Row],[HCPCS code dosage 2023Q1]], "")</f>
        <v>0.115</v>
      </c>
      <c r="BV131" s="79"/>
    </row>
    <row r="132" spans="1:74" x14ac:dyDescent="0.3">
      <c r="A132" s="69" t="s">
        <v>1712</v>
      </c>
      <c r="B132" s="273" t="s">
        <v>750</v>
      </c>
      <c r="C132" s="273">
        <v>2.5000000000000001E-2</v>
      </c>
      <c r="D132" s="275" t="s">
        <v>1470</v>
      </c>
      <c r="E132" s="280">
        <f>IFERROR(VLOOKUP(Table5[[#This Row],[HCPCS code 2016 Q1]], ASP2016Q1[], 4, FALSE), "")</f>
        <v>21.469000000000001</v>
      </c>
      <c r="F132" s="305">
        <f>IFERROR(Table5[[#This Row],[Payment Limit 2016Q1]]/Table5[[#This Row],[HCPCS code dosage 2016Q1]], "")</f>
        <v>858.76</v>
      </c>
      <c r="G132" s="273" t="s">
        <v>750</v>
      </c>
      <c r="H132" s="273">
        <v>2.5000000000000001E-2</v>
      </c>
      <c r="I132" s="275" t="s">
        <v>1470</v>
      </c>
      <c r="J132" s="280">
        <f>IFERROR(VLOOKUP(Table5[[#This Row],[HCPCS code 2016 Q3]], ASP2016Q3[], 4, FALSE), "")</f>
        <v>22.433</v>
      </c>
      <c r="K132" s="305">
        <f>IFERROR(Table5[[#This Row],[Payment Limit 2016Q3]]/Table5[[#This Row],[HCPCS code dosage 2016Q3]], "")</f>
        <v>897.31999999999994</v>
      </c>
      <c r="L132" s="273" t="s">
        <v>750</v>
      </c>
      <c r="M132" s="273">
        <v>2.5000000000000001E-2</v>
      </c>
      <c r="N132" s="275" t="s">
        <v>1470</v>
      </c>
      <c r="O132" s="291">
        <f>IFERROR(VLOOKUP(Table5[[#This Row],[HCPCS code 2017 Q1]], ASP2017Q1[], 4, FALSE), "")</f>
        <v>22.54</v>
      </c>
      <c r="P132" s="302">
        <f>IFERROR(Table5[[#This Row],[Payment Limit 2017Q1]]/Table5[[#This Row],[HCPCS code dosage 2017Q1]], "")</f>
        <v>901.59999999999991</v>
      </c>
      <c r="Q132" s="275" t="s">
        <v>750</v>
      </c>
      <c r="R132" s="275">
        <v>2.5000000000000001E-2</v>
      </c>
      <c r="S132" s="275" t="s">
        <v>1470</v>
      </c>
      <c r="T132" s="280">
        <f>IFERROR(VLOOKUP(Table5[[#This Row],[HCPCS code 2017 Q3]], ASP2017Q3[], 4, FALSE), "")</f>
        <v>22.050999999999998</v>
      </c>
      <c r="U132" s="280">
        <f>IFERROR(Table5[[#This Row],[Payment Limit 2017Q3]]/Table5[[#This Row],[HCPCS code dosage 2017Q3]], "")</f>
        <v>882.03999999999985</v>
      </c>
      <c r="V132" s="374" t="s">
        <v>750</v>
      </c>
      <c r="W132" s="377">
        <v>2.5000000000000001E-2</v>
      </c>
      <c r="X132" s="142" t="s">
        <v>1470</v>
      </c>
      <c r="Y132" s="280">
        <v>20.302</v>
      </c>
      <c r="Z132" s="305">
        <f>IFERROR(Table5[[#This Row],[Payment Limit 2018 Q1]]/Table5[[#This Row],[HCPCS code dosage 2018 Q1]],"")</f>
        <v>812.07999999999993</v>
      </c>
      <c r="AA132" s="374" t="s">
        <v>750</v>
      </c>
      <c r="AB132" s="381">
        <v>2.5000000000000001E-2</v>
      </c>
      <c r="AC132" s="142" t="s">
        <v>1470</v>
      </c>
      <c r="AD132" s="378">
        <v>22.603999999999999</v>
      </c>
      <c r="AE132" s="305">
        <f>IFERROR(Table5[[#This Row],[Payment Limit 2018 Q3]]/Table5[[#This Row],[HCPCS code dosage 2018 Q3]],"")</f>
        <v>904.16</v>
      </c>
      <c r="AF132" s="273" t="s">
        <v>750</v>
      </c>
      <c r="AG132" s="122">
        <v>597.83999999999992</v>
      </c>
      <c r="AH132" s="117" t="s">
        <v>750</v>
      </c>
      <c r="AI132" s="118">
        <v>2.5000000000000001E-2</v>
      </c>
      <c r="AJ132" s="118" t="s">
        <v>1470</v>
      </c>
      <c r="AK132" s="115">
        <f>IFERROR(VLOOKUP(Table5[[#This Row],[HCPCS code 2019Q3]], ASP2019Q3[], 4, FALSE), "")</f>
        <v>8.9280000000000008</v>
      </c>
      <c r="AL132" s="72">
        <f>IFERROR(Table5[[#This Row],[Payment Limit 2019Q3]]/Table5[[#This Row],[HCPCS code dosage 2019Q3]], "")</f>
        <v>357.12</v>
      </c>
      <c r="AM132" s="130" t="s">
        <v>750</v>
      </c>
      <c r="AN132" s="130">
        <v>2.5000000000000001E-2</v>
      </c>
      <c r="AO132" s="130" t="s">
        <v>1470</v>
      </c>
      <c r="AP132" s="126">
        <f>IFERROR(VLOOKUP(Table5[[#This Row],[HCPCS code 2020Q1]], ASP2020Q1[], 4, FALSE), "")</f>
        <v>6.21</v>
      </c>
      <c r="AQ132" s="77">
        <f>IFERROR(Table5[[#This Row],[Payment Limit 2020Q1]]/Table5[[#This Row],[HCPCS code dosage 2020Q1]], "")</f>
        <v>248.39999999999998</v>
      </c>
      <c r="AR132" s="133" t="s">
        <v>750</v>
      </c>
      <c r="AS132" s="130">
        <v>2.5000000000000001E-2</v>
      </c>
      <c r="AT132" s="130" t="s">
        <v>1470</v>
      </c>
      <c r="AU132" s="132">
        <f>IFERROR(VLOOKUP(Table5[[#This Row],[HCPCS code 2020Q3]], ASP2020Q3[], 4, FALSE), "")</f>
        <v>3.7559999999999998</v>
      </c>
      <c r="AV132" s="72">
        <f>IFERROR(Table5[[#This Row],[Payment limit 2020Q3]]/Table5[[#This Row],[HCPCS code dosage 2020Q3]],"")</f>
        <v>150.23999999999998</v>
      </c>
      <c r="AW132" s="144" t="s">
        <v>750</v>
      </c>
      <c r="AX132" s="118">
        <v>2.5000000000000001E-2</v>
      </c>
      <c r="AY132" s="144" t="s">
        <v>1470</v>
      </c>
      <c r="AZ132" s="144">
        <f>IFERROR(VLOOKUP(Table5[[#This Row],[HCPCS code 2021Q1]], ASP2021Q1[], 4, FALSE), "")</f>
        <v>3.1850000000000001</v>
      </c>
      <c r="BA132" s="122">
        <f>IFERROR(Table5[[#This Row],[Payment limit 2021Q1]]/Table5[[#This Row],[HCPCS code dosage 2021Q1]], "")</f>
        <v>127.39999999999999</v>
      </c>
      <c r="BB132" s="147" t="s">
        <v>750</v>
      </c>
      <c r="BC132" s="118">
        <v>2.5000000000000001E-2</v>
      </c>
      <c r="BD132" s="144" t="s">
        <v>1470</v>
      </c>
      <c r="BE132" s="144">
        <f>IFERROR(VLOOKUP(Table5[[#This Row],[HCPCS code 2021Q3]], ASP2021Q3[], 4, FALSE), "")</f>
        <v>1.9</v>
      </c>
      <c r="BF132" s="122">
        <f>IFERROR(Table5[[#This Row],[Payment limit 2021Q3]]/Table5[[#This Row],[HCPCS code dosage 2021Q3]], "")</f>
        <v>75.999999999999986</v>
      </c>
      <c r="BG132" s="147" t="s">
        <v>750</v>
      </c>
      <c r="BH132" s="118">
        <v>2.5000000000000001E-2</v>
      </c>
      <c r="BI132" s="144" t="s">
        <v>1470</v>
      </c>
      <c r="BJ132" s="144">
        <f>IFERROR(VLOOKUP(Table5[[#This Row],[HCPCS code 2022Q1]], ASP2022Q1[], 4, FALSE), "")</f>
        <v>0.85699999999999998</v>
      </c>
      <c r="BK132" s="122">
        <f>IFERROR(Table5[[#This Row],[Payment limit 2022Q1]]/Table5[[#This Row],[HCPCS code dosage 2022Q1]], "")</f>
        <v>34.279999999999994</v>
      </c>
      <c r="BL132" s="144" t="s">
        <v>750</v>
      </c>
      <c r="BM132" s="184">
        <v>2.5000000000000001E-2</v>
      </c>
      <c r="BN132" s="144" t="s">
        <v>1470</v>
      </c>
      <c r="BO132" s="144">
        <f>IFERROR(VLOOKUP(Table5[[#This Row],[HCPCS Code 2022Q3]], ASP2022Q3[], 4, FALSE), "")</f>
        <v>0.90500000000000003</v>
      </c>
      <c r="BP132" s="122">
        <f>IFERROR(Table5[[#This Row],[Payment limit 2022Q3]]/Table5[[#This Row],[HCPCS code dosage 2022Q3]], "")</f>
        <v>36.199999999999996</v>
      </c>
      <c r="BQ132" s="181" t="s">
        <v>750</v>
      </c>
      <c r="BR132" s="130">
        <v>25</v>
      </c>
      <c r="BS132" s="181" t="s">
        <v>2369</v>
      </c>
      <c r="BT132" s="181">
        <v>1.0129999999999999</v>
      </c>
      <c r="BU132" s="181">
        <f>IFERROR(Table5[[#This Row],[Payment limit 2023Q1]]/Table5[[#This Row],[HCPCS code dosage 2023Q1]], "")</f>
        <v>4.0519999999999994E-2</v>
      </c>
      <c r="BV132" s="519"/>
    </row>
    <row r="133" spans="1:74" x14ac:dyDescent="0.3">
      <c r="A133" s="69" t="s">
        <v>2617</v>
      </c>
      <c r="B133" s="275" t="s">
        <v>747</v>
      </c>
      <c r="C133" s="273">
        <v>30</v>
      </c>
      <c r="D133" s="275" t="s">
        <v>1470</v>
      </c>
      <c r="E133" s="280">
        <f>IFERROR(VLOOKUP(Table5[[#This Row],[HCPCS code 2016 Q1]], ASP2016Q1[], 4, FALSE), "")</f>
        <v>11.574999999999999</v>
      </c>
      <c r="F133" s="305">
        <f>IFERROR(Table5[[#This Row],[Payment Limit 2016Q1]]/Table5[[#This Row],[HCPCS code dosage 2016Q1]], "")</f>
        <v>0.38583333333333331</v>
      </c>
      <c r="G133" s="273" t="s">
        <v>747</v>
      </c>
      <c r="H133" s="273">
        <v>30</v>
      </c>
      <c r="I133" s="275" t="s">
        <v>1470</v>
      </c>
      <c r="J133" s="280">
        <f>IFERROR(VLOOKUP(Table5[[#This Row],[HCPCS code 2016 Q3]], ASP2016Q3[], 4, FALSE), "")</f>
        <v>12.754</v>
      </c>
      <c r="K133" s="305">
        <f>IFERROR(Table5[[#This Row],[Payment Limit 2016Q3]]/Table5[[#This Row],[HCPCS code dosage 2016Q3]], "")</f>
        <v>0.42513333333333331</v>
      </c>
      <c r="L133" s="273" t="s">
        <v>747</v>
      </c>
      <c r="M133" s="273">
        <v>30</v>
      </c>
      <c r="N133" s="275" t="s">
        <v>1470</v>
      </c>
      <c r="O133" s="280">
        <f>IFERROR(VLOOKUP(Table5[[#This Row],[HCPCS code 2017 Q1]], ASP2017Q1[], 4, FALSE), "")</f>
        <v>10.082000000000001</v>
      </c>
      <c r="P133" s="305">
        <f>IFERROR(Table5[[#This Row],[Payment Limit 2017Q1]]/Table5[[#This Row],[HCPCS code dosage 2017Q1]], "")</f>
        <v>0.33606666666666668</v>
      </c>
      <c r="Q133" s="142" t="s">
        <v>747</v>
      </c>
      <c r="R133" s="416">
        <v>30</v>
      </c>
      <c r="S133" s="416" t="s">
        <v>1470</v>
      </c>
      <c r="T133" s="280">
        <f>IFERROR(VLOOKUP(Table5[[#This Row],[HCPCS code 2017 Q3]], ASP2017Q3[], 4, FALSE), "")</f>
        <v>9.4009999999999998</v>
      </c>
      <c r="U133" s="280">
        <f>IFERROR(Table5[[#This Row],[Payment Limit 2017Q3]]/Table5[[#This Row],[HCPCS code dosage 2017Q3]], "")</f>
        <v>0.31336666666666668</v>
      </c>
      <c r="V133" s="374" t="s">
        <v>747</v>
      </c>
      <c r="W133" s="377">
        <v>30</v>
      </c>
      <c r="X133" s="142" t="s">
        <v>1470</v>
      </c>
      <c r="Y133" s="280">
        <v>9.8360000000000003</v>
      </c>
      <c r="Z133" s="305">
        <f>IFERROR(Table5[[#This Row],[Payment Limit 2018 Q1]]/Table5[[#This Row],[HCPCS code dosage 2018 Q1]],"")</f>
        <v>0.3278666666666667</v>
      </c>
      <c r="AA133" s="374" t="s">
        <v>747</v>
      </c>
      <c r="AB133" s="381">
        <v>30</v>
      </c>
      <c r="AC133" s="142" t="s">
        <v>1470</v>
      </c>
      <c r="AD133" s="378">
        <v>10.048999999999999</v>
      </c>
      <c r="AE133" s="305">
        <f>IFERROR(Table5[[#This Row],[Payment Limit 2018 Q3]]/Table5[[#This Row],[HCPCS code dosage 2018 Q3]],"")</f>
        <v>0.33496666666666663</v>
      </c>
      <c r="AF133" s="416"/>
      <c r="AG133" s="122"/>
      <c r="AH133" s="117"/>
      <c r="AI133" s="118"/>
      <c r="AJ133" s="118"/>
      <c r="AK133" s="132" t="str">
        <f>IFERROR(VLOOKUP(Table5[[#This Row],[HCPCS code 2019Q3]], ASP2019Q3[], 4, FALSE), "")</f>
        <v/>
      </c>
      <c r="AL133" s="72" t="str">
        <f>IFERROR(Table5[[#This Row],[Payment Limit 2019Q3]]/Table5[[#This Row],[HCPCS code dosage 2019Q3]], "")</f>
        <v/>
      </c>
      <c r="AM133" s="130"/>
      <c r="AN133" s="130"/>
      <c r="AO133" s="130"/>
      <c r="AP133" s="126" t="str">
        <f>IFERROR(VLOOKUP(Table5[[#This Row],[HCPCS code 2020Q1]], ASP2020Q1[], 4, FALSE), "")</f>
        <v/>
      </c>
      <c r="AQ133" s="77" t="str">
        <f>IFERROR(Table5[[#This Row],[Payment Limit 2020Q1]]/Table5[[#This Row],[HCPCS code dosage 2020Q1]], "")</f>
        <v/>
      </c>
      <c r="AR133" s="133"/>
      <c r="AS133" s="130"/>
      <c r="AT133" s="130"/>
      <c r="AU133" s="132" t="str">
        <f>IFERROR(VLOOKUP(Table5[[#This Row],[HCPCS code 2020Q3]], ASP2020Q3[], 4, FALSE), "")</f>
        <v/>
      </c>
      <c r="AV133" s="72" t="str">
        <f>IFERROR(Table5[[#This Row],[Payment limit 2020Q3]]/Table5[[#This Row],[HCPCS code dosage 2020Q3]],"")</f>
        <v/>
      </c>
      <c r="AW133" s="144"/>
      <c r="AX133" s="118"/>
      <c r="AY133" s="144"/>
      <c r="AZ133" s="144" t="str">
        <f>IFERROR(VLOOKUP(Table5[[#This Row],[HCPCS code 2021Q1]], ASP2021Q1[], 4, FALSE), "")</f>
        <v/>
      </c>
      <c r="BA133" s="122" t="str">
        <f>IFERROR(Table5[[#This Row],[Payment limit 2021Q1]]/Table5[[#This Row],[HCPCS code dosage 2021Q1]], "")</f>
        <v/>
      </c>
      <c r="BB133" s="147"/>
      <c r="BC133" s="118"/>
      <c r="BD133" s="144"/>
      <c r="BE133" s="144" t="str">
        <f>IFERROR(VLOOKUP(Table5[[#This Row],[HCPCS code 2021Q3]], ASP2021Q3[], 4, FALSE), "")</f>
        <v/>
      </c>
      <c r="BF133" s="122" t="str">
        <f>IFERROR(Table5[[#This Row],[Payment limit 2021Q3]]/Table5[[#This Row],[HCPCS code dosage 2021Q3]], "")</f>
        <v/>
      </c>
      <c r="BG133" s="147"/>
      <c r="BH133" s="118"/>
      <c r="BI133" s="144"/>
      <c r="BJ133" s="144" t="str">
        <f>IFERROR(VLOOKUP(Table5[[#This Row],[HCPCS code 2022Q1]], ASP2022Q1[], 4, FALSE), "")</f>
        <v/>
      </c>
      <c r="BK133" s="122" t="str">
        <f>IFERROR(Table5[[#This Row],[Payment limit 2022Q1]]/Table5[[#This Row],[HCPCS code dosage 2022Q1]], "")</f>
        <v/>
      </c>
      <c r="BL133" s="144"/>
      <c r="BM133" s="184"/>
      <c r="BN133" s="144"/>
      <c r="BO133" s="144" t="str">
        <f>IFERROR(VLOOKUP(Table5[[#This Row],[HCPCS Code 2022Q3]], ASP2022Q3[], 4, FALSE), "")</f>
        <v/>
      </c>
      <c r="BP133" s="122" t="str">
        <f>IFERROR(Table5[[#This Row],[Payment limit 2022Q3]]/Table5[[#This Row],[HCPCS code dosage 2022Q3]], "")</f>
        <v/>
      </c>
      <c r="BQ133" s="144"/>
      <c r="BR133" s="521"/>
      <c r="BS133" s="144"/>
      <c r="BT133" s="144"/>
      <c r="BU133" s="144" t="str">
        <f>IFERROR(Table5[[#This Row],[Payment limit 2023Q1]]/Table5[[#This Row],[HCPCS code dosage 2023Q1]], "")</f>
        <v/>
      </c>
      <c r="BV133" s="79"/>
    </row>
    <row r="134" spans="1:74" x14ac:dyDescent="0.3">
      <c r="A134" s="62" t="s">
        <v>67</v>
      </c>
      <c r="B134" s="286" t="s">
        <v>1295</v>
      </c>
      <c r="C134" s="286">
        <v>10</v>
      </c>
      <c r="D134" s="307" t="s">
        <v>1470</v>
      </c>
      <c r="E134" s="292">
        <f>IFERROR(VLOOKUP(Table5[[#This Row],[HCPCS code 2016 Q1]], ASP2016Q1[], 4, FALSE), "")</f>
        <v>103.38800000000001</v>
      </c>
      <c r="F134" s="303">
        <f>IFERROR(Table5[[#This Row],[Payment Limit 2016Q1]]/Table5[[#This Row],[HCPCS code dosage 2016Q1]], "")</f>
        <v>10.338800000000001</v>
      </c>
      <c r="G134" s="286" t="s">
        <v>1295</v>
      </c>
      <c r="H134" s="286">
        <v>10</v>
      </c>
      <c r="I134" s="307" t="s">
        <v>1470</v>
      </c>
      <c r="J134" s="292">
        <f>IFERROR(VLOOKUP(Table5[[#This Row],[HCPCS code 2016 Q3]], ASP2016Q3[], 4, FALSE), "")</f>
        <v>105.524</v>
      </c>
      <c r="K134" s="303">
        <f>IFERROR(Table5[[#This Row],[Payment Limit 2016Q3]]/Table5[[#This Row],[HCPCS code dosage 2016Q3]], "")</f>
        <v>10.5524</v>
      </c>
      <c r="L134" s="286" t="s">
        <v>1295</v>
      </c>
      <c r="M134" s="286">
        <v>10</v>
      </c>
      <c r="N134" s="307" t="s">
        <v>1470</v>
      </c>
      <c r="O134" s="291">
        <f>IFERROR(VLOOKUP(Table5[[#This Row],[HCPCS code 2017 Q1]], ASP2017Q1[], 4, FALSE), "")</f>
        <v>107.441</v>
      </c>
      <c r="P134" s="302">
        <f>IFERROR(Table5[[#This Row],[Payment Limit 2017Q1]]/Table5[[#This Row],[HCPCS code dosage 2017Q1]], "")</f>
        <v>10.7441</v>
      </c>
      <c r="Q134" s="275" t="s">
        <v>1295</v>
      </c>
      <c r="R134" s="275">
        <v>10</v>
      </c>
      <c r="S134" s="275" t="s">
        <v>1470</v>
      </c>
      <c r="T134" s="279">
        <f>IFERROR(VLOOKUP(Table5[[#This Row],[HCPCS code 2017 Q3]], ASP2017Q3[], 4, FALSE), "")</f>
        <v>109.399</v>
      </c>
      <c r="U134" s="279">
        <f>IFERROR(Table5[[#This Row],[Payment Limit 2017Q3]]/Table5[[#This Row],[HCPCS code dosage 2017Q3]], "")</f>
        <v>10.9399</v>
      </c>
      <c r="V134" s="374" t="s">
        <v>1295</v>
      </c>
      <c r="W134" s="377">
        <v>10</v>
      </c>
      <c r="X134" s="142" t="s">
        <v>1470</v>
      </c>
      <c r="Y134" s="279">
        <v>111.39</v>
      </c>
      <c r="Z134" s="370">
        <f>IFERROR(Table5[[#This Row],[Payment Limit 2018 Q1]]/Table5[[#This Row],[HCPCS code dosage 2018 Q1]],"")</f>
        <v>11.138999999999999</v>
      </c>
      <c r="AA134" s="374" t="s">
        <v>1295</v>
      </c>
      <c r="AB134" s="381">
        <v>10</v>
      </c>
      <c r="AC134" s="142" t="s">
        <v>1470</v>
      </c>
      <c r="AD134" s="378">
        <v>114.036</v>
      </c>
      <c r="AE134" s="370">
        <f>IFERROR(Table5[[#This Row],[Payment Limit 2018 Q3]]/Table5[[#This Row],[HCPCS code dosage 2018 Q3]],"")</f>
        <v>11.403600000000001</v>
      </c>
      <c r="AF134" s="275" t="s">
        <v>1295</v>
      </c>
      <c r="AG134" s="122">
        <v>11.470099999999999</v>
      </c>
      <c r="AH134" s="117" t="s">
        <v>1295</v>
      </c>
      <c r="AI134" s="118" t="s">
        <v>1664</v>
      </c>
      <c r="AJ134" s="118" t="s">
        <v>1470</v>
      </c>
      <c r="AK134" s="115">
        <f>IFERROR(VLOOKUP(Table5[[#This Row],[HCPCS code 2019Q3]], ASP2019Q3[], 4, FALSE), "")</f>
        <v>117.756</v>
      </c>
      <c r="AL134" s="72">
        <f>IFERROR(Table5[[#This Row],[Payment Limit 2019Q3]]/Table5[[#This Row],[HCPCS code dosage 2019Q3]], "")</f>
        <v>11.775600000000001</v>
      </c>
      <c r="AM134" s="130" t="s">
        <v>1295</v>
      </c>
      <c r="AN134" s="130" t="s">
        <v>1664</v>
      </c>
      <c r="AO134" s="130" t="s">
        <v>1470</v>
      </c>
      <c r="AP134" s="126">
        <f>IFERROR(VLOOKUP(Table5[[#This Row],[HCPCS code 2020Q1]], ASP2020Q1[], 4, FALSE), "")</f>
        <v>118.518</v>
      </c>
      <c r="AQ134" s="77">
        <f>IFERROR(Table5[[#This Row],[Payment Limit 2020Q1]]/Table5[[#This Row],[HCPCS code dosage 2020Q1]], "")</f>
        <v>11.851800000000001</v>
      </c>
      <c r="AR134" s="133" t="s">
        <v>1295</v>
      </c>
      <c r="AS134" s="130" t="s">
        <v>1664</v>
      </c>
      <c r="AT134" s="130" t="s">
        <v>1470</v>
      </c>
      <c r="AU134" s="132">
        <f>IFERROR(VLOOKUP(Table5[[#This Row],[HCPCS code 2020Q3]], ASP2020Q3[], 4, FALSE), "")</f>
        <v>122.801</v>
      </c>
      <c r="AV134" s="72">
        <f>IFERROR(Table5[[#This Row],[Payment limit 2020Q3]]/Table5[[#This Row],[HCPCS code dosage 2020Q3]],"")</f>
        <v>12.280100000000001</v>
      </c>
      <c r="AW134" s="144" t="s">
        <v>1295</v>
      </c>
      <c r="AX134" s="118" t="s">
        <v>1664</v>
      </c>
      <c r="AY134" s="144" t="s">
        <v>1470</v>
      </c>
      <c r="AZ134" s="144">
        <f>IFERROR(VLOOKUP(Table5[[#This Row],[HCPCS code 2021Q1]], ASP2021Q1[], 4, FALSE), "")</f>
        <v>124.16500000000001</v>
      </c>
      <c r="BA134" s="122">
        <f>IFERROR(Table5[[#This Row],[Payment limit 2021Q1]]/Table5[[#This Row],[HCPCS code dosage 2021Q1]], "")</f>
        <v>12.416500000000001</v>
      </c>
      <c r="BB134" s="147" t="s">
        <v>1295</v>
      </c>
      <c r="BC134" s="118" t="s">
        <v>1664</v>
      </c>
      <c r="BD134" s="144" t="s">
        <v>1470</v>
      </c>
      <c r="BE134" s="144">
        <f>IFERROR(VLOOKUP(Table5[[#This Row],[HCPCS code 2021Q3]], ASP2021Q3[], 4, FALSE), "")</f>
        <v>128.584</v>
      </c>
      <c r="BF134" s="122">
        <f>IFERROR(Table5[[#This Row],[Payment limit 2021Q3]]/Table5[[#This Row],[HCPCS code dosage 2021Q3]], "")</f>
        <v>12.8584</v>
      </c>
      <c r="BG134" s="147" t="s">
        <v>1295</v>
      </c>
      <c r="BH134" s="118" t="s">
        <v>1664</v>
      </c>
      <c r="BI134" s="144" t="s">
        <v>1470</v>
      </c>
      <c r="BJ134" s="144">
        <f>IFERROR(VLOOKUP(Table5[[#This Row],[HCPCS code 2022Q1]], ASP2022Q1[], 4, FALSE), "")</f>
        <v>130.40700000000001</v>
      </c>
      <c r="BK134" s="122">
        <f>IFERROR(Table5[[#This Row],[Payment limit 2022Q1]]/Table5[[#This Row],[HCPCS code dosage 2022Q1]], "")</f>
        <v>13.040700000000001</v>
      </c>
      <c r="BL134" s="144" t="s">
        <v>1295</v>
      </c>
      <c r="BM134" s="184">
        <v>10</v>
      </c>
      <c r="BN134" s="144" t="s">
        <v>1470</v>
      </c>
      <c r="BO134" s="144">
        <f>IFERROR(VLOOKUP(Table5[[#This Row],[HCPCS Code 2022Q3]], ASP2022Q3[], 4, FALSE), "")</f>
        <v>136.965</v>
      </c>
      <c r="BP134" s="122">
        <f>IFERROR(Table5[[#This Row],[Payment limit 2022Q3]]/Table5[[#This Row],[HCPCS code dosage 2022Q3]], "")</f>
        <v>13.6965</v>
      </c>
      <c r="BQ134" s="144" t="s">
        <v>1295</v>
      </c>
      <c r="BR134" s="118">
        <v>10</v>
      </c>
      <c r="BS134" s="144" t="s">
        <v>1470</v>
      </c>
      <c r="BT134" s="144">
        <v>143.51</v>
      </c>
      <c r="BU134" s="144">
        <f>IFERROR(Table5[[#This Row],[Payment limit 2023Q1]]/Table5[[#This Row],[HCPCS code dosage 2023Q1]], "")</f>
        <v>14.350999999999999</v>
      </c>
      <c r="BV134" s="79"/>
    </row>
    <row r="135" spans="1:74" x14ac:dyDescent="0.3">
      <c r="A135" s="69" t="s">
        <v>1693</v>
      </c>
      <c r="B135" s="273" t="s">
        <v>760</v>
      </c>
      <c r="C135" s="273">
        <v>6</v>
      </c>
      <c r="D135" s="275" t="s">
        <v>1470</v>
      </c>
      <c r="E135" s="280">
        <f>IFERROR(VLOOKUP(Table5[[#This Row],[HCPCS code 2016 Q1]], ASP2016Q1[], 4, FALSE), "")</f>
        <v>3828.0949999999998</v>
      </c>
      <c r="F135" s="305">
        <f>IFERROR(Table5[[#This Row],[Payment Limit 2016Q1]]/Table5[[#This Row],[HCPCS code dosage 2016Q1]], "")</f>
        <v>638.01583333333326</v>
      </c>
      <c r="G135" s="273" t="s">
        <v>760</v>
      </c>
      <c r="H135" s="273">
        <v>6</v>
      </c>
      <c r="I135" s="275" t="s">
        <v>1470</v>
      </c>
      <c r="J135" s="280">
        <f>IFERROR(VLOOKUP(Table5[[#This Row],[HCPCS code 2016 Q3]], ASP2016Q3[], 4, FALSE), "")</f>
        <v>3986.8969999999999</v>
      </c>
      <c r="K135" s="305">
        <f>IFERROR(Table5[[#This Row],[Payment Limit 2016Q3]]/Table5[[#This Row],[HCPCS code dosage 2016Q3]], "")</f>
        <v>664.48283333333336</v>
      </c>
      <c r="L135" s="273" t="s">
        <v>760</v>
      </c>
      <c r="M135" s="273">
        <v>6</v>
      </c>
      <c r="N135" s="275" t="s">
        <v>1470</v>
      </c>
      <c r="O135" s="291">
        <f>IFERROR(VLOOKUP(Table5[[#This Row],[HCPCS code 2017 Q1]], ASP2017Q1[], 4, FALSE), "")</f>
        <v>4117.2330000000002</v>
      </c>
      <c r="P135" s="302">
        <f>IFERROR(Table5[[#This Row],[Payment Limit 2017Q1]]/Table5[[#This Row],[HCPCS code dosage 2017Q1]], "")</f>
        <v>686.20550000000003</v>
      </c>
      <c r="Q135" s="275" t="s">
        <v>760</v>
      </c>
      <c r="R135" s="275">
        <v>6</v>
      </c>
      <c r="S135" s="275" t="s">
        <v>1470</v>
      </c>
      <c r="T135" s="280">
        <f>IFERROR(VLOOKUP(Table5[[#This Row],[HCPCS code 2017 Q3]], ASP2017Q3[], 4, FALSE), "")</f>
        <v>4247.2460000000001</v>
      </c>
      <c r="U135" s="280">
        <f>IFERROR(Table5[[#This Row],[Payment Limit 2017Q3]]/Table5[[#This Row],[HCPCS code dosage 2017Q3]], "")</f>
        <v>707.87433333333331</v>
      </c>
      <c r="V135" s="374" t="s">
        <v>760</v>
      </c>
      <c r="W135" s="377">
        <v>6</v>
      </c>
      <c r="X135" s="142" t="s">
        <v>1470</v>
      </c>
      <c r="Y135" s="280">
        <v>4442.3050000000003</v>
      </c>
      <c r="Z135" s="305">
        <f>IFERROR(Table5[[#This Row],[Payment Limit 2018 Q1]]/Table5[[#This Row],[HCPCS code dosage 2018 Q1]],"")</f>
        <v>740.38416666666672</v>
      </c>
      <c r="AA135" s="374" t="s">
        <v>760</v>
      </c>
      <c r="AB135" s="381">
        <v>6</v>
      </c>
      <c r="AC135" s="142" t="s">
        <v>1470</v>
      </c>
      <c r="AD135" s="378">
        <v>4720.8429999999998</v>
      </c>
      <c r="AE135" s="305">
        <f>IFERROR(Table5[[#This Row],[Payment Limit 2018 Q3]]/Table5[[#This Row],[HCPCS code dosage 2018 Q3]],"")</f>
        <v>786.8071666666666</v>
      </c>
      <c r="AF135" s="273" t="s">
        <v>760</v>
      </c>
      <c r="AG135" s="122">
        <v>780.30099999999993</v>
      </c>
      <c r="AH135" s="117" t="s">
        <v>760</v>
      </c>
      <c r="AI135" s="118">
        <v>6</v>
      </c>
      <c r="AJ135" s="118" t="s">
        <v>1470</v>
      </c>
      <c r="AK135" s="115">
        <f>IFERROR(VLOOKUP(Table5[[#This Row],[HCPCS code 2019Q3]], ASP2019Q3[], 4, FALSE), "")</f>
        <v>4528.3109999999997</v>
      </c>
      <c r="AL135" s="72">
        <f>IFERROR(Table5[[#This Row],[Payment Limit 2019Q3]]/Table5[[#This Row],[HCPCS code dosage 2019Q3]], "")</f>
        <v>754.71849999999995</v>
      </c>
      <c r="AM135" s="130" t="s">
        <v>760</v>
      </c>
      <c r="AN135" s="130">
        <v>6</v>
      </c>
      <c r="AO135" s="130" t="s">
        <v>1470</v>
      </c>
      <c r="AP135" s="126">
        <f>IFERROR(VLOOKUP(Table5[[#This Row],[HCPCS code 2020Q1]], ASP2020Q1[], 4, FALSE), "")</f>
        <v>4257.0969999999998</v>
      </c>
      <c r="AQ135" s="77">
        <f>IFERROR(Table5[[#This Row],[Payment Limit 2020Q1]]/Table5[[#This Row],[HCPCS code dosage 2020Q1]], "")</f>
        <v>709.51616666666666</v>
      </c>
      <c r="AR135" s="133" t="s">
        <v>760</v>
      </c>
      <c r="AS135" s="130">
        <v>6</v>
      </c>
      <c r="AT135" s="130" t="s">
        <v>1470</v>
      </c>
      <c r="AU135" s="132">
        <f>IFERROR(VLOOKUP(Table5[[#This Row],[HCPCS code 2020Q3]], ASP2020Q3[], 4, FALSE), "")</f>
        <v>3807.2979999999998</v>
      </c>
      <c r="AV135" s="72">
        <f>IFERROR(Table5[[#This Row],[Payment limit 2020Q3]]/Table5[[#This Row],[HCPCS code dosage 2020Q3]],"")</f>
        <v>634.54966666666667</v>
      </c>
      <c r="AW135" s="144" t="s">
        <v>760</v>
      </c>
      <c r="AX135" s="118">
        <v>6</v>
      </c>
      <c r="AY135" s="144" t="s">
        <v>1470</v>
      </c>
      <c r="AZ135" s="144">
        <f>IFERROR(VLOOKUP(Table5[[#This Row],[HCPCS code 2021Q1]], ASP2021Q1[], 4, FALSE), "")</f>
        <v>3079.4879999999998</v>
      </c>
      <c r="BA135" s="122">
        <f>IFERROR(Table5[[#This Row],[Payment limit 2021Q1]]/Table5[[#This Row],[HCPCS code dosage 2021Q1]], "")</f>
        <v>513.24799999999993</v>
      </c>
      <c r="BB135" s="147" t="s">
        <v>760</v>
      </c>
      <c r="BC135" s="118">
        <v>6</v>
      </c>
      <c r="BD135" s="144" t="s">
        <v>1470</v>
      </c>
      <c r="BE135" s="144">
        <f>IFERROR(VLOOKUP(Table5[[#This Row],[HCPCS code 2021Q3]], ASP2021Q3[], 4, FALSE), "")</f>
        <v>2469.355</v>
      </c>
      <c r="BF135" s="122">
        <f>IFERROR(Table5[[#This Row],[Payment limit 2021Q3]]/Table5[[#This Row],[HCPCS code dosage 2021Q3]], "")</f>
        <v>411.55916666666667</v>
      </c>
      <c r="BG135" s="147" t="s">
        <v>2022</v>
      </c>
      <c r="BH135" s="118">
        <v>0.5</v>
      </c>
      <c r="BI135" s="144" t="s">
        <v>1470</v>
      </c>
      <c r="BJ135" s="144">
        <f>IFERROR(VLOOKUP(Table5[[#This Row],[HCPCS code 2022Q1]], ASP2022Q1[], 4, FALSE), "")</f>
        <v>182.03200000000001</v>
      </c>
      <c r="BK135" s="122">
        <f>IFERROR(Table5[[#This Row],[Payment limit 2022Q1]]/Table5[[#This Row],[HCPCS code dosage 2022Q1]], "")</f>
        <v>364.06400000000002</v>
      </c>
      <c r="BL135" s="144" t="s">
        <v>2022</v>
      </c>
      <c r="BM135" s="184">
        <v>0.5</v>
      </c>
      <c r="BN135" s="144" t="s">
        <v>1470</v>
      </c>
      <c r="BO135" s="144">
        <f>IFERROR(VLOOKUP(Table5[[#This Row],[HCPCS Code 2022Q3]], ASP2022Q3[], 4, FALSE), "")</f>
        <v>155.827</v>
      </c>
      <c r="BP135" s="122">
        <f>IFERROR(Table5[[#This Row],[Payment limit 2022Q3]]/Table5[[#This Row],[HCPCS code dosage 2022Q3]], "")</f>
        <v>311.654</v>
      </c>
      <c r="BQ135" s="144" t="s">
        <v>2022</v>
      </c>
      <c r="BR135" s="118">
        <v>0.5</v>
      </c>
      <c r="BS135" s="144" t="s">
        <v>1470</v>
      </c>
      <c r="BT135" s="144">
        <f>IFERROR(VLOOKUP(Table5[[#This Row],[HCPCS Code 2023Q1]], ASP2023Q1[], 4, FALSE), "")</f>
        <v>135.166</v>
      </c>
      <c r="BU135" s="144">
        <f>IFERROR(Table5[[#This Row],[Payment limit 2023Q1]]/Table5[[#This Row],[HCPCS code dosage 2023Q1]], "")</f>
        <v>270.33199999999999</v>
      </c>
      <c r="BV135" s="132" t="s">
        <v>2748</v>
      </c>
    </row>
    <row r="136" spans="1:74" x14ac:dyDescent="0.3">
      <c r="A136" s="62" t="s">
        <v>19</v>
      </c>
      <c r="B136" s="286" t="s">
        <v>191</v>
      </c>
      <c r="C136" s="286">
        <v>10</v>
      </c>
      <c r="D136" s="307" t="s">
        <v>1470</v>
      </c>
      <c r="E136" s="292">
        <f>IFERROR(VLOOKUP(Table5[[#This Row],[HCPCS code 2016 Q1]], ASP2016Q1[], 4, FALSE), "")</f>
        <v>431.51799999999997</v>
      </c>
      <c r="F136" s="303">
        <f>IFERROR(Table5[[#This Row],[Payment Limit 2016Q1]]/Table5[[#This Row],[HCPCS code dosage 2016Q1]], "")</f>
        <v>43.151799999999994</v>
      </c>
      <c r="G136" s="286" t="s">
        <v>191</v>
      </c>
      <c r="H136" s="286">
        <v>10</v>
      </c>
      <c r="I136" s="307" t="s">
        <v>1470</v>
      </c>
      <c r="J136" s="292">
        <f>IFERROR(VLOOKUP(Table5[[#This Row],[HCPCS code 2016 Q3]], ASP2016Q3[], 4, FALSE), "")</f>
        <v>426.24900000000002</v>
      </c>
      <c r="K136" s="303">
        <f>IFERROR(Table5[[#This Row],[Payment Limit 2016Q3]]/Table5[[#This Row],[HCPCS code dosage 2016Q3]], "")</f>
        <v>42.624900000000004</v>
      </c>
      <c r="L136" s="286" t="s">
        <v>191</v>
      </c>
      <c r="M136" s="286">
        <v>10</v>
      </c>
      <c r="N136" s="307" t="s">
        <v>1470</v>
      </c>
      <c r="O136" s="291">
        <f>IFERROR(VLOOKUP(Table5[[#This Row],[HCPCS code 2017 Q1]], ASP2017Q1[], 4, FALSE), "")</f>
        <v>429.59500000000003</v>
      </c>
      <c r="P136" s="302">
        <f>IFERROR(Table5[[#This Row],[Payment Limit 2017Q1]]/Table5[[#This Row],[HCPCS code dosage 2017Q1]], "")</f>
        <v>42.959500000000006</v>
      </c>
      <c r="Q136" s="275" t="s">
        <v>191</v>
      </c>
      <c r="R136" s="275">
        <v>10</v>
      </c>
      <c r="S136" s="275" t="s">
        <v>1470</v>
      </c>
      <c r="T136" s="279">
        <f>IFERROR(VLOOKUP(Table5[[#This Row],[HCPCS code 2017 Q3]], ASP2017Q3[], 4, FALSE), "")</f>
        <v>383.827</v>
      </c>
      <c r="U136" s="279">
        <f>IFERROR(Table5[[#This Row],[Payment Limit 2017Q3]]/Table5[[#This Row],[HCPCS code dosage 2017Q3]], "")</f>
        <v>38.3827</v>
      </c>
      <c r="V136" s="374" t="s">
        <v>191</v>
      </c>
      <c r="W136" s="377">
        <v>10</v>
      </c>
      <c r="X136" s="142" t="s">
        <v>1470</v>
      </c>
      <c r="Y136" s="279">
        <v>385.767</v>
      </c>
      <c r="Z136" s="370">
        <f>IFERROR(Table5[[#This Row],[Payment Limit 2018 Q1]]/Table5[[#This Row],[HCPCS code dosage 2018 Q1]],"")</f>
        <v>38.576700000000002</v>
      </c>
      <c r="AA136" s="374" t="s">
        <v>191</v>
      </c>
      <c r="AB136" s="381">
        <v>10</v>
      </c>
      <c r="AC136" s="142" t="s">
        <v>1470</v>
      </c>
      <c r="AD136" s="378">
        <v>372.49200000000002</v>
      </c>
      <c r="AE136" s="370">
        <f>IFERROR(Table5[[#This Row],[Payment Limit 2018 Q3]]/Table5[[#This Row],[HCPCS code dosage 2018 Q3]],"")</f>
        <v>37.249200000000002</v>
      </c>
      <c r="AF136" s="275" t="s">
        <v>191</v>
      </c>
      <c r="AG136" s="122">
        <v>38.133400000000002</v>
      </c>
      <c r="AH136" s="117" t="s">
        <v>191</v>
      </c>
      <c r="AI136" s="118" t="s">
        <v>1664</v>
      </c>
      <c r="AJ136" s="118" t="s">
        <v>1470</v>
      </c>
      <c r="AK136" s="115">
        <f>IFERROR(VLOOKUP(Table5[[#This Row],[HCPCS code 2019Q3]], ASP2019Q3[], 4, FALSE), "")</f>
        <v>349.298</v>
      </c>
      <c r="AL136" s="72">
        <f>IFERROR(Table5[[#This Row],[Payment Limit 2019Q3]]/Table5[[#This Row],[HCPCS code dosage 2019Q3]], "")</f>
        <v>34.9298</v>
      </c>
      <c r="AM136" s="130" t="s">
        <v>191</v>
      </c>
      <c r="AN136" s="130" t="s">
        <v>1664</v>
      </c>
      <c r="AO136" s="130" t="s">
        <v>1470</v>
      </c>
      <c r="AP136" s="126">
        <f>IFERROR(VLOOKUP(Table5[[#This Row],[HCPCS code 2020Q1]], ASP2020Q1[], 4, FALSE), "")</f>
        <v>295.51799999999997</v>
      </c>
      <c r="AQ136" s="77">
        <f>IFERROR(Table5[[#This Row],[Payment Limit 2020Q1]]/Table5[[#This Row],[HCPCS code dosage 2020Q1]], "")</f>
        <v>29.551799999999997</v>
      </c>
      <c r="AR136" s="133" t="s">
        <v>191</v>
      </c>
      <c r="AS136" s="130" t="s">
        <v>1664</v>
      </c>
      <c r="AT136" s="130" t="s">
        <v>1470</v>
      </c>
      <c r="AU136" s="132">
        <f>IFERROR(VLOOKUP(Table5[[#This Row],[HCPCS code 2020Q3]], ASP2020Q3[], 4, FALSE), "")</f>
        <v>317.70299999999997</v>
      </c>
      <c r="AV136" s="72">
        <f>IFERROR(Table5[[#This Row],[Payment limit 2020Q3]]/Table5[[#This Row],[HCPCS code dosage 2020Q3]],"")</f>
        <v>31.770299999999999</v>
      </c>
      <c r="AW136" s="144" t="s">
        <v>191</v>
      </c>
      <c r="AX136" s="118" t="s">
        <v>1664</v>
      </c>
      <c r="AY136" s="144" t="s">
        <v>1470</v>
      </c>
      <c r="AZ136" s="144">
        <f>IFERROR(VLOOKUP(Table5[[#This Row],[HCPCS code 2021Q1]], ASP2021Q1[], 4, FALSE), "")</f>
        <v>298.80200000000002</v>
      </c>
      <c r="BA136" s="122">
        <f>IFERROR(Table5[[#This Row],[Payment limit 2021Q1]]/Table5[[#This Row],[HCPCS code dosage 2021Q1]], "")</f>
        <v>29.880200000000002</v>
      </c>
      <c r="BB136" s="147" t="s">
        <v>191</v>
      </c>
      <c r="BC136" s="118" t="s">
        <v>1664</v>
      </c>
      <c r="BD136" s="144" t="s">
        <v>1470</v>
      </c>
      <c r="BE136" s="144">
        <f>IFERROR(VLOOKUP(Table5[[#This Row],[HCPCS code 2021Q3]], ASP2021Q3[], 4, FALSE), "")</f>
        <v>257.08699999999999</v>
      </c>
      <c r="BF136" s="122">
        <f>IFERROR(Table5[[#This Row],[Payment limit 2021Q3]]/Table5[[#This Row],[HCPCS code dosage 2021Q3]], "")</f>
        <v>25.7087</v>
      </c>
      <c r="BG136" s="147" t="s">
        <v>191</v>
      </c>
      <c r="BH136" s="118" t="s">
        <v>1664</v>
      </c>
      <c r="BI136" s="144" t="s">
        <v>1470</v>
      </c>
      <c r="BJ136" s="144">
        <f>IFERROR(VLOOKUP(Table5[[#This Row],[HCPCS code 2022Q1]], ASP2022Q1[], 4, FALSE), "")</f>
        <v>200.51499999999999</v>
      </c>
      <c r="BK136" s="122">
        <f>IFERROR(Table5[[#This Row],[Payment limit 2022Q1]]/Table5[[#This Row],[HCPCS code dosage 2022Q1]], "")</f>
        <v>20.051499999999997</v>
      </c>
      <c r="BL136" s="144" t="s">
        <v>191</v>
      </c>
      <c r="BM136" s="184">
        <v>10</v>
      </c>
      <c r="BN136" s="144" t="s">
        <v>1470</v>
      </c>
      <c r="BO136" s="144">
        <f>IFERROR(VLOOKUP(Table5[[#This Row],[HCPCS Code 2022Q3]], ASP2022Q3[], 4, FALSE), "")</f>
        <v>129.99299999999999</v>
      </c>
      <c r="BP136" s="122">
        <f>IFERROR(Table5[[#This Row],[Payment limit 2022Q3]]/Table5[[#This Row],[HCPCS code dosage 2022Q3]], "")</f>
        <v>12.9993</v>
      </c>
      <c r="BQ136" s="144" t="s">
        <v>191</v>
      </c>
      <c r="BR136" s="118">
        <v>10</v>
      </c>
      <c r="BS136" s="144" t="s">
        <v>1470</v>
      </c>
      <c r="BT136" s="144">
        <v>102.235</v>
      </c>
      <c r="BU136" s="144">
        <f>IFERROR(Table5[[#This Row],[Payment limit 2023Q1]]/Table5[[#This Row],[HCPCS code dosage 2023Q1]], "")</f>
        <v>10.2235</v>
      </c>
      <c r="BV136" s="79"/>
    </row>
    <row r="137" spans="1:74" x14ac:dyDescent="0.3">
      <c r="A137" s="62" t="s">
        <v>45</v>
      </c>
      <c r="B137" s="286" t="s">
        <v>1279</v>
      </c>
      <c r="C137" s="286">
        <v>1</v>
      </c>
      <c r="D137" s="307" t="s">
        <v>1470</v>
      </c>
      <c r="E137" s="292">
        <f>IFERROR(VLOOKUP(Table5[[#This Row],[HCPCS code 2016 Q1]], ASP2016Q1[], 4, FALSE), "")</f>
        <v>45.695</v>
      </c>
      <c r="F137" s="303">
        <f>IFERROR(Table5[[#This Row],[Payment Limit 2016Q1]]/Table5[[#This Row],[HCPCS code dosage 2016Q1]], "")</f>
        <v>45.695</v>
      </c>
      <c r="G137" s="286" t="s">
        <v>1279</v>
      </c>
      <c r="H137" s="286">
        <v>1</v>
      </c>
      <c r="I137" s="307" t="s">
        <v>1470</v>
      </c>
      <c r="J137" s="292">
        <f>IFERROR(VLOOKUP(Table5[[#This Row],[HCPCS code 2016 Q3]], ASP2016Q3[], 4, FALSE), "")</f>
        <v>45.765000000000001</v>
      </c>
      <c r="K137" s="303">
        <f>IFERROR(Table5[[#This Row],[Payment Limit 2016Q3]]/Table5[[#This Row],[HCPCS code dosage 2016Q3]], "")</f>
        <v>45.765000000000001</v>
      </c>
      <c r="L137" s="286" t="s">
        <v>1279</v>
      </c>
      <c r="M137" s="286">
        <v>1</v>
      </c>
      <c r="N137" s="307" t="s">
        <v>1470</v>
      </c>
      <c r="O137" s="291">
        <f>IFERROR(VLOOKUP(Table5[[#This Row],[HCPCS code 2017 Q1]], ASP2017Q1[], 4, FALSE), "")</f>
        <v>46.540999999999997</v>
      </c>
      <c r="P137" s="302">
        <f>IFERROR(Table5[[#This Row],[Payment Limit 2017Q1]]/Table5[[#This Row],[HCPCS code dosage 2017Q1]], "")</f>
        <v>46.540999999999997</v>
      </c>
      <c r="Q137" s="275" t="s">
        <v>1279</v>
      </c>
      <c r="R137" s="275">
        <v>1</v>
      </c>
      <c r="S137" s="275" t="s">
        <v>1470</v>
      </c>
      <c r="T137" s="279">
        <f>IFERROR(VLOOKUP(Table5[[#This Row],[HCPCS code 2017 Q3]], ASP2017Q3[], 4, FALSE), "")</f>
        <v>47.177999999999997</v>
      </c>
      <c r="U137" s="279">
        <f>IFERROR(Table5[[#This Row],[Payment Limit 2017Q3]]/Table5[[#This Row],[HCPCS code dosage 2017Q3]], "")</f>
        <v>47.177999999999997</v>
      </c>
      <c r="V137" s="374" t="s">
        <v>1279</v>
      </c>
      <c r="W137" s="377">
        <v>1</v>
      </c>
      <c r="X137" s="142" t="s">
        <v>1470</v>
      </c>
      <c r="Y137" s="279">
        <v>47.866</v>
      </c>
      <c r="Z137" s="370">
        <f>IFERROR(Table5[[#This Row],[Payment Limit 2018 Q1]]/Table5[[#This Row],[HCPCS code dosage 2018 Q1]],"")</f>
        <v>47.866</v>
      </c>
      <c r="AA137" s="374" t="s">
        <v>1279</v>
      </c>
      <c r="AB137" s="381">
        <v>1</v>
      </c>
      <c r="AC137" s="142" t="s">
        <v>1470</v>
      </c>
      <c r="AD137" s="378">
        <v>48.573999999999998</v>
      </c>
      <c r="AE137" s="370">
        <f>IFERROR(Table5[[#This Row],[Payment Limit 2018 Q3]]/Table5[[#This Row],[HCPCS code dosage 2018 Q3]],"")</f>
        <v>48.573999999999998</v>
      </c>
      <c r="AF137" s="275" t="s">
        <v>1279</v>
      </c>
      <c r="AG137" s="122">
        <v>48.987000000000002</v>
      </c>
      <c r="AH137" s="117" t="s">
        <v>1279</v>
      </c>
      <c r="AI137" s="118" t="s">
        <v>1665</v>
      </c>
      <c r="AJ137" s="118" t="s">
        <v>1470</v>
      </c>
      <c r="AK137" s="115">
        <f>IFERROR(VLOOKUP(Table5[[#This Row],[HCPCS code 2019Q3]], ASP2019Q3[], 4, FALSE), "")</f>
        <v>49.584000000000003</v>
      </c>
      <c r="AL137" s="72">
        <f>IFERROR(Table5[[#This Row],[Payment Limit 2019Q3]]/Table5[[#This Row],[HCPCS code dosage 2019Q3]], "")</f>
        <v>49.584000000000003</v>
      </c>
      <c r="AM137" s="130" t="s">
        <v>1279</v>
      </c>
      <c r="AN137" s="130" t="s">
        <v>1665</v>
      </c>
      <c r="AO137" s="130" t="s">
        <v>1470</v>
      </c>
      <c r="AP137" s="126">
        <f>IFERROR(VLOOKUP(Table5[[#This Row],[HCPCS code 2020Q1]], ASP2020Q1[], 4, FALSE), "")</f>
        <v>50.264000000000003</v>
      </c>
      <c r="AQ137" s="77">
        <f>IFERROR(Table5[[#This Row],[Payment Limit 2020Q1]]/Table5[[#This Row],[HCPCS code dosage 2020Q1]], "")</f>
        <v>50.264000000000003</v>
      </c>
      <c r="AR137" s="133" t="s">
        <v>1279</v>
      </c>
      <c r="AS137" s="130" t="s">
        <v>1665</v>
      </c>
      <c r="AT137" s="130" t="s">
        <v>1470</v>
      </c>
      <c r="AU137" s="132">
        <f>IFERROR(VLOOKUP(Table5[[#This Row],[HCPCS code 2020Q3]], ASP2020Q3[], 4, FALSE), "")</f>
        <v>50.927</v>
      </c>
      <c r="AV137" s="72">
        <f>IFERROR(Table5[[#This Row],[Payment limit 2020Q3]]/Table5[[#This Row],[HCPCS code dosage 2020Q3]],"")</f>
        <v>50.927</v>
      </c>
      <c r="AW137" s="144" t="s">
        <v>1279</v>
      </c>
      <c r="AX137" s="118" t="s">
        <v>1665</v>
      </c>
      <c r="AY137" s="144" t="s">
        <v>1470</v>
      </c>
      <c r="AZ137" s="144">
        <f>IFERROR(VLOOKUP(Table5[[#This Row],[HCPCS code 2021Q1]], ASP2021Q1[], 4, FALSE), "")</f>
        <v>50.648000000000003</v>
      </c>
      <c r="BA137" s="122">
        <f>IFERROR(Table5[[#This Row],[Payment limit 2021Q1]]/Table5[[#This Row],[HCPCS code dosage 2021Q1]], "")</f>
        <v>50.648000000000003</v>
      </c>
      <c r="BB137" s="147" t="s">
        <v>1279</v>
      </c>
      <c r="BC137" s="118" t="s">
        <v>1665</v>
      </c>
      <c r="BD137" s="144" t="s">
        <v>1470</v>
      </c>
      <c r="BE137" s="144">
        <f>IFERROR(VLOOKUP(Table5[[#This Row],[HCPCS code 2021Q3]], ASP2021Q3[], 4, FALSE), "")</f>
        <v>51.348999999999997</v>
      </c>
      <c r="BF137" s="122">
        <f>IFERROR(Table5[[#This Row],[Payment limit 2021Q3]]/Table5[[#This Row],[HCPCS code dosage 2021Q3]], "")</f>
        <v>51.348999999999997</v>
      </c>
      <c r="BG137" s="147" t="s">
        <v>1279</v>
      </c>
      <c r="BH137" s="118" t="s">
        <v>1665</v>
      </c>
      <c r="BI137" s="144" t="s">
        <v>1470</v>
      </c>
      <c r="BJ137" s="144">
        <f>IFERROR(VLOOKUP(Table5[[#This Row],[HCPCS code 2022Q1]], ASP2022Q1[], 4, FALSE), "")</f>
        <v>52.3</v>
      </c>
      <c r="BK137" s="122">
        <f>IFERROR(Table5[[#This Row],[Payment limit 2022Q1]]/Table5[[#This Row],[HCPCS code dosage 2022Q1]], "")</f>
        <v>52.3</v>
      </c>
      <c r="BL137" s="144" t="s">
        <v>1279</v>
      </c>
      <c r="BM137" s="184">
        <v>1</v>
      </c>
      <c r="BN137" s="144" t="s">
        <v>1470</v>
      </c>
      <c r="BO137" s="144">
        <f>IFERROR(VLOOKUP(Table5[[#This Row],[HCPCS Code 2022Q3]], ASP2022Q3[], 4, FALSE), "")</f>
        <v>53.139000000000003</v>
      </c>
      <c r="BP137" s="122">
        <f>IFERROR(Table5[[#This Row],[Payment limit 2022Q3]]/Table5[[#This Row],[HCPCS code dosage 2022Q3]], "")</f>
        <v>53.139000000000003</v>
      </c>
      <c r="BQ137" s="144" t="s">
        <v>1279</v>
      </c>
      <c r="BR137" s="118">
        <v>1</v>
      </c>
      <c r="BS137" s="144" t="s">
        <v>1470</v>
      </c>
      <c r="BT137" s="144">
        <v>53.914000000000001</v>
      </c>
      <c r="BU137" s="144">
        <f>IFERROR(Table5[[#This Row],[Payment limit 2023Q1]]/Table5[[#This Row],[HCPCS code dosage 2023Q1]], "")</f>
        <v>53.914000000000001</v>
      </c>
      <c r="BV137" s="79"/>
    </row>
    <row r="138" spans="1:74" x14ac:dyDescent="0.3">
      <c r="A138" s="62" t="s">
        <v>47</v>
      </c>
      <c r="B138" s="286" t="s">
        <v>1297</v>
      </c>
      <c r="C138" s="286">
        <v>10</v>
      </c>
      <c r="D138" s="307" t="s">
        <v>1470</v>
      </c>
      <c r="E138" s="292">
        <f>IFERROR(VLOOKUP(Table5[[#This Row],[HCPCS code 2016 Q1]], ASP2016Q1[], 4, FALSE), "")</f>
        <v>61.76</v>
      </c>
      <c r="F138" s="303">
        <f>IFERROR(Table5[[#This Row],[Payment Limit 2016Q1]]/Table5[[#This Row],[HCPCS code dosage 2016Q1]], "")</f>
        <v>6.1760000000000002</v>
      </c>
      <c r="G138" s="286" t="s">
        <v>1297</v>
      </c>
      <c r="H138" s="286">
        <v>10</v>
      </c>
      <c r="I138" s="307" t="s">
        <v>1470</v>
      </c>
      <c r="J138" s="292">
        <f>IFERROR(VLOOKUP(Table5[[#This Row],[HCPCS code 2016 Q3]], ASP2016Q3[], 4, FALSE), "")</f>
        <v>62.945999999999998</v>
      </c>
      <c r="K138" s="303">
        <f>IFERROR(Table5[[#This Row],[Payment Limit 2016Q3]]/Table5[[#This Row],[HCPCS code dosage 2016Q3]], "")</f>
        <v>6.2946</v>
      </c>
      <c r="L138" s="286" t="s">
        <v>1297</v>
      </c>
      <c r="M138" s="286">
        <v>10</v>
      </c>
      <c r="N138" s="307" t="s">
        <v>1470</v>
      </c>
      <c r="O138" s="291">
        <f>IFERROR(VLOOKUP(Table5[[#This Row],[HCPCS code 2017 Q1]], ASP2017Q1[], 4, FALSE), "")</f>
        <v>63.814</v>
      </c>
      <c r="P138" s="302">
        <f>IFERROR(Table5[[#This Row],[Payment Limit 2017Q1]]/Table5[[#This Row],[HCPCS code dosage 2017Q1]], "")</f>
        <v>6.3814000000000002</v>
      </c>
      <c r="Q138" s="275" t="s">
        <v>1297</v>
      </c>
      <c r="R138" s="275">
        <v>10</v>
      </c>
      <c r="S138" s="275" t="s">
        <v>1470</v>
      </c>
      <c r="T138" s="279">
        <f>IFERROR(VLOOKUP(Table5[[#This Row],[HCPCS code 2017 Q3]], ASP2017Q3[], 4, FALSE), "")</f>
        <v>64.742000000000004</v>
      </c>
      <c r="U138" s="279">
        <f>IFERROR(Table5[[#This Row],[Payment Limit 2017Q3]]/Table5[[#This Row],[HCPCS code dosage 2017Q3]], "")</f>
        <v>6.4742000000000006</v>
      </c>
      <c r="V138" s="374" t="s">
        <v>1297</v>
      </c>
      <c r="W138" s="377">
        <v>10</v>
      </c>
      <c r="X138" s="142" t="s">
        <v>1470</v>
      </c>
      <c r="Y138" s="279">
        <v>66.308999999999997</v>
      </c>
      <c r="Z138" s="370">
        <f>IFERROR(Table5[[#This Row],[Payment Limit 2018 Q1]]/Table5[[#This Row],[HCPCS code dosage 2018 Q1]],"")</f>
        <v>6.6308999999999996</v>
      </c>
      <c r="AA138" s="374" t="s">
        <v>1297</v>
      </c>
      <c r="AB138" s="381">
        <v>10</v>
      </c>
      <c r="AC138" s="142" t="s">
        <v>1470</v>
      </c>
      <c r="AD138" s="378">
        <v>67.459000000000003</v>
      </c>
      <c r="AE138" s="370">
        <f>IFERROR(Table5[[#This Row],[Payment Limit 2018 Q3]]/Table5[[#This Row],[HCPCS code dosage 2018 Q3]],"")</f>
        <v>6.7459000000000007</v>
      </c>
      <c r="AF138" s="275" t="s">
        <v>1297</v>
      </c>
      <c r="AG138" s="122">
        <v>6.8106999999999998</v>
      </c>
      <c r="AH138" s="117" t="s">
        <v>1297</v>
      </c>
      <c r="AI138" s="118" t="s">
        <v>1664</v>
      </c>
      <c r="AJ138" s="118" t="s">
        <v>1470</v>
      </c>
      <c r="AK138" s="115">
        <f>IFERROR(VLOOKUP(Table5[[#This Row],[HCPCS code 2019Q3]], ASP2019Q3[], 4, FALSE), "")</f>
        <v>69.543000000000006</v>
      </c>
      <c r="AL138" s="72">
        <f>IFERROR(Table5[[#This Row],[Payment Limit 2019Q3]]/Table5[[#This Row],[HCPCS code dosage 2019Q3]], "")</f>
        <v>6.9543000000000008</v>
      </c>
      <c r="AM138" s="130" t="s">
        <v>1297</v>
      </c>
      <c r="AN138" s="130" t="s">
        <v>1664</v>
      </c>
      <c r="AO138" s="130" t="s">
        <v>1470</v>
      </c>
      <c r="AP138" s="126">
        <f>IFERROR(VLOOKUP(Table5[[#This Row],[HCPCS code 2020Q1]], ASP2020Q1[], 4, FALSE), "")</f>
        <v>70.793000000000006</v>
      </c>
      <c r="AQ138" s="77">
        <f>IFERROR(Table5[[#This Row],[Payment Limit 2020Q1]]/Table5[[#This Row],[HCPCS code dosage 2020Q1]], "")</f>
        <v>7.0793000000000008</v>
      </c>
      <c r="AR138" s="133" t="s">
        <v>1297</v>
      </c>
      <c r="AS138" s="130" t="s">
        <v>1664</v>
      </c>
      <c r="AT138" s="130" t="s">
        <v>1470</v>
      </c>
      <c r="AU138" s="132">
        <f>IFERROR(VLOOKUP(Table5[[#This Row],[HCPCS code 2020Q3]], ASP2020Q3[], 4, FALSE), "")</f>
        <v>72.405000000000001</v>
      </c>
      <c r="AV138" s="72">
        <f>IFERROR(Table5[[#This Row],[Payment limit 2020Q3]]/Table5[[#This Row],[HCPCS code dosage 2020Q3]],"")</f>
        <v>7.2404999999999999</v>
      </c>
      <c r="AW138" s="144" t="s">
        <v>1297</v>
      </c>
      <c r="AX138" s="118" t="s">
        <v>1664</v>
      </c>
      <c r="AY138" s="144" t="s">
        <v>1470</v>
      </c>
      <c r="AZ138" s="144">
        <f>IFERROR(VLOOKUP(Table5[[#This Row],[HCPCS code 2021Q1]], ASP2021Q1[], 4, FALSE), "")</f>
        <v>73.186000000000007</v>
      </c>
      <c r="BA138" s="122">
        <f>IFERROR(Table5[[#This Row],[Payment limit 2021Q1]]/Table5[[#This Row],[HCPCS code dosage 2021Q1]], "")</f>
        <v>7.3186000000000009</v>
      </c>
      <c r="BB138" s="147" t="s">
        <v>1297</v>
      </c>
      <c r="BC138" s="118" t="s">
        <v>1664</v>
      </c>
      <c r="BD138" s="144" t="s">
        <v>1470</v>
      </c>
      <c r="BE138" s="144">
        <f>IFERROR(VLOOKUP(Table5[[#This Row],[HCPCS code 2021Q3]], ASP2021Q3[], 4, FALSE), "")</f>
        <v>74.197000000000003</v>
      </c>
      <c r="BF138" s="122">
        <f>IFERROR(Table5[[#This Row],[Payment limit 2021Q3]]/Table5[[#This Row],[HCPCS code dosage 2021Q3]], "")</f>
        <v>7.4197000000000006</v>
      </c>
      <c r="BG138" s="147" t="s">
        <v>1297</v>
      </c>
      <c r="BH138" s="118" t="s">
        <v>1664</v>
      </c>
      <c r="BI138" s="144" t="s">
        <v>1470</v>
      </c>
      <c r="BJ138" s="144">
        <f>IFERROR(VLOOKUP(Table5[[#This Row],[HCPCS code 2022Q1]], ASP2022Q1[], 4, FALSE), "")</f>
        <v>76.037000000000006</v>
      </c>
      <c r="BK138" s="122">
        <f>IFERROR(Table5[[#This Row],[Payment limit 2022Q1]]/Table5[[#This Row],[HCPCS code dosage 2022Q1]], "")</f>
        <v>7.6037000000000008</v>
      </c>
      <c r="BL138" s="144" t="s">
        <v>1297</v>
      </c>
      <c r="BM138" s="184">
        <v>10</v>
      </c>
      <c r="BN138" s="144" t="s">
        <v>1470</v>
      </c>
      <c r="BO138" s="144">
        <f>IFERROR(VLOOKUP(Table5[[#This Row],[HCPCS Code 2022Q3]], ASP2022Q3[], 4, FALSE), "")</f>
        <v>78.393000000000001</v>
      </c>
      <c r="BP138" s="122">
        <f>IFERROR(Table5[[#This Row],[Payment limit 2022Q3]]/Table5[[#This Row],[HCPCS code dosage 2022Q3]], "")</f>
        <v>7.8392999999999997</v>
      </c>
      <c r="BQ138" s="144" t="s">
        <v>1297</v>
      </c>
      <c r="BR138" s="118">
        <v>10</v>
      </c>
      <c r="BS138" s="144" t="s">
        <v>1470</v>
      </c>
      <c r="BT138" s="144">
        <v>27.681000000000001</v>
      </c>
      <c r="BU138" s="144">
        <f>IFERROR(Table5[[#This Row],[Payment limit 2023Q1]]/Table5[[#This Row],[HCPCS code dosage 2023Q1]], "")</f>
        <v>2.7681</v>
      </c>
      <c r="BV138" s="79"/>
    </row>
    <row r="139" spans="1:74" x14ac:dyDescent="0.3">
      <c r="A139" s="62" t="s">
        <v>144</v>
      </c>
      <c r="B139" s="286" t="s">
        <v>1277</v>
      </c>
      <c r="C139" s="286">
        <v>10</v>
      </c>
      <c r="D139" s="307" t="s">
        <v>1470</v>
      </c>
      <c r="E139" s="292">
        <f>IFERROR(VLOOKUP(Table5[[#This Row],[HCPCS code 2016 Q1]], ASP2016Q1[], 4, FALSE), "")</f>
        <v>1620.7370000000001</v>
      </c>
      <c r="F139" s="303">
        <f>IFERROR(Table5[[#This Row],[Payment Limit 2016Q1]]/Table5[[#This Row],[HCPCS code dosage 2016Q1]], "")</f>
        <v>162.0737</v>
      </c>
      <c r="G139" s="286" t="s">
        <v>1277</v>
      </c>
      <c r="H139" s="286">
        <v>10</v>
      </c>
      <c r="I139" s="307" t="s">
        <v>1470</v>
      </c>
      <c r="J139" s="292">
        <f>IFERROR(VLOOKUP(Table5[[#This Row],[HCPCS code 2016 Q3]], ASP2016Q3[], 4, FALSE), "")</f>
        <v>1840.3209999999999</v>
      </c>
      <c r="K139" s="303">
        <f>IFERROR(Table5[[#This Row],[Payment Limit 2016Q3]]/Table5[[#This Row],[HCPCS code dosage 2016Q3]], "")</f>
        <v>184.03209999999999</v>
      </c>
      <c r="L139" s="286" t="s">
        <v>1277</v>
      </c>
      <c r="M139" s="286">
        <v>10</v>
      </c>
      <c r="N139" s="307" t="s">
        <v>1470</v>
      </c>
      <c r="O139" s="291">
        <f>IFERROR(VLOOKUP(Table5[[#This Row],[HCPCS code 2017 Q1]], ASP2017Q1[], 4, FALSE), "")</f>
        <v>1881.6659999999999</v>
      </c>
      <c r="P139" s="302">
        <f>IFERROR(Table5[[#This Row],[Payment Limit 2017Q1]]/Table5[[#This Row],[HCPCS code dosage 2017Q1]], "")</f>
        <v>188.16659999999999</v>
      </c>
      <c r="Q139" s="275" t="s">
        <v>1277</v>
      </c>
      <c r="R139" s="275">
        <v>10</v>
      </c>
      <c r="S139" s="275" t="s">
        <v>1470</v>
      </c>
      <c r="T139" s="279">
        <f>IFERROR(VLOOKUP(Table5[[#This Row],[HCPCS code 2017 Q3]], ASP2017Q3[], 4, FALSE), "")</f>
        <v>2057.0859999999998</v>
      </c>
      <c r="U139" s="279">
        <f>IFERROR(Table5[[#This Row],[Payment Limit 2017Q3]]/Table5[[#This Row],[HCPCS code dosage 2017Q3]], "")</f>
        <v>205.70859999999999</v>
      </c>
      <c r="V139" s="374" t="s">
        <v>1277</v>
      </c>
      <c r="W139" s="377">
        <v>10</v>
      </c>
      <c r="X139" s="142" t="s">
        <v>1470</v>
      </c>
      <c r="Y139" s="279">
        <v>1977.979</v>
      </c>
      <c r="Z139" s="370">
        <f>IFERROR(Table5[[#This Row],[Payment Limit 2018 Q1]]/Table5[[#This Row],[HCPCS code dosage 2018 Q1]],"")</f>
        <v>197.7979</v>
      </c>
      <c r="AA139" s="374" t="s">
        <v>1277</v>
      </c>
      <c r="AB139" s="381">
        <v>10</v>
      </c>
      <c r="AC139" s="142" t="s">
        <v>1470</v>
      </c>
      <c r="AD139" s="378">
        <v>2005.2070000000001</v>
      </c>
      <c r="AE139" s="370">
        <f>IFERROR(Table5[[#This Row],[Payment Limit 2018 Q3]]/Table5[[#This Row],[HCPCS code dosage 2018 Q3]],"")</f>
        <v>200.52070000000001</v>
      </c>
      <c r="AF139" s="275" t="s">
        <v>1277</v>
      </c>
      <c r="AG139" s="122">
        <v>201.73320000000001</v>
      </c>
      <c r="AH139" s="117" t="s">
        <v>1277</v>
      </c>
      <c r="AI139" s="118" t="s">
        <v>1664</v>
      </c>
      <c r="AJ139" s="118" t="s">
        <v>1470</v>
      </c>
      <c r="AK139" s="115">
        <f>IFERROR(VLOOKUP(Table5[[#This Row],[HCPCS code 2019Q3]], ASP2019Q3[], 4, FALSE), "")</f>
        <v>2020.3019999999999</v>
      </c>
      <c r="AL139" s="72">
        <f>IFERROR(Table5[[#This Row],[Payment Limit 2019Q3]]/Table5[[#This Row],[HCPCS code dosage 2019Q3]], "")</f>
        <v>202.03019999999998</v>
      </c>
      <c r="AM139" s="130" t="s">
        <v>1277</v>
      </c>
      <c r="AN139" s="130" t="s">
        <v>1664</v>
      </c>
      <c r="AO139" s="130" t="s">
        <v>1470</v>
      </c>
      <c r="AP139" s="126">
        <f>IFERROR(VLOOKUP(Table5[[#This Row],[HCPCS code 2020Q1]], ASP2020Q1[], 4, FALSE), "")</f>
        <v>2109.3519999999999</v>
      </c>
      <c r="AQ139" s="77">
        <f>IFERROR(Table5[[#This Row],[Payment Limit 2020Q1]]/Table5[[#This Row],[HCPCS code dosage 2020Q1]], "")</f>
        <v>210.93519999999998</v>
      </c>
      <c r="AR139" s="133" t="s">
        <v>1277</v>
      </c>
      <c r="AS139" s="130" t="s">
        <v>1664</v>
      </c>
      <c r="AT139" s="130" t="s">
        <v>1470</v>
      </c>
      <c r="AU139" s="132">
        <f>IFERROR(VLOOKUP(Table5[[#This Row],[HCPCS code 2020Q3]], ASP2020Q3[], 4, FALSE), "")</f>
        <v>2069.8090000000002</v>
      </c>
      <c r="AV139" s="72">
        <f>IFERROR(Table5[[#This Row],[Payment limit 2020Q3]]/Table5[[#This Row],[HCPCS code dosage 2020Q3]],"")</f>
        <v>206.98090000000002</v>
      </c>
      <c r="AW139" s="144" t="s">
        <v>1277</v>
      </c>
      <c r="AX139" s="118" t="s">
        <v>1664</v>
      </c>
      <c r="AY139" s="144" t="s">
        <v>1470</v>
      </c>
      <c r="AZ139" s="144">
        <f>IFERROR(VLOOKUP(Table5[[#This Row],[HCPCS code 2021Q1]], ASP2021Q1[], 4, FALSE), "")</f>
        <v>2001.895</v>
      </c>
      <c r="BA139" s="122">
        <f>IFERROR(Table5[[#This Row],[Payment limit 2021Q1]]/Table5[[#This Row],[HCPCS code dosage 2021Q1]], "")</f>
        <v>200.18950000000001</v>
      </c>
      <c r="BB139" s="147" t="s">
        <v>1277</v>
      </c>
      <c r="BC139" s="118" t="s">
        <v>1664</v>
      </c>
      <c r="BD139" s="144" t="s">
        <v>1470</v>
      </c>
      <c r="BE139" s="144">
        <f>IFERROR(VLOOKUP(Table5[[#This Row],[HCPCS code 2021Q3]], ASP2021Q3[], 4, FALSE), "")</f>
        <v>1971.002</v>
      </c>
      <c r="BF139" s="122">
        <f>IFERROR(Table5[[#This Row],[Payment limit 2021Q3]]/Table5[[#This Row],[HCPCS code dosage 2021Q3]], "")</f>
        <v>197.1002</v>
      </c>
      <c r="BG139" s="147" t="s">
        <v>1277</v>
      </c>
      <c r="BH139" s="118" t="s">
        <v>1664</v>
      </c>
      <c r="BI139" s="144" t="s">
        <v>1470</v>
      </c>
      <c r="BJ139" s="144">
        <f>IFERROR(VLOOKUP(Table5[[#This Row],[HCPCS code 2022Q1]], ASP2022Q1[], 4, FALSE), "")</f>
        <v>1934.454</v>
      </c>
      <c r="BK139" s="122">
        <f>IFERROR(Table5[[#This Row],[Payment limit 2022Q1]]/Table5[[#This Row],[HCPCS code dosage 2022Q1]], "")</f>
        <v>193.44540000000001</v>
      </c>
      <c r="BL139" s="144" t="s">
        <v>1277</v>
      </c>
      <c r="BM139" s="184">
        <v>10</v>
      </c>
      <c r="BN139" s="144" t="s">
        <v>1470</v>
      </c>
      <c r="BO139" s="144">
        <f>IFERROR(VLOOKUP(Table5[[#This Row],[HCPCS Code 2022Q3]], ASP2022Q3[], 4, FALSE), "")</f>
        <v>2076.0790000000002</v>
      </c>
      <c r="BP139" s="122">
        <f>IFERROR(Table5[[#This Row],[Payment limit 2022Q3]]/Table5[[#This Row],[HCPCS code dosage 2022Q3]], "")</f>
        <v>207.60790000000003</v>
      </c>
      <c r="BQ139" s="144" t="s">
        <v>1277</v>
      </c>
      <c r="BR139" s="118">
        <v>10</v>
      </c>
      <c r="BS139" s="144" t="s">
        <v>1470</v>
      </c>
      <c r="BT139" s="144">
        <v>2320.116</v>
      </c>
      <c r="BU139" s="144">
        <f>IFERROR(Table5[[#This Row],[Payment limit 2023Q1]]/Table5[[#This Row],[HCPCS code dosage 2023Q1]], "")</f>
        <v>232.01159999999999</v>
      </c>
      <c r="BV139" s="79"/>
    </row>
    <row r="140" spans="1:74" x14ac:dyDescent="0.3">
      <c r="A140" s="62" t="s">
        <v>161</v>
      </c>
      <c r="B140" s="286" t="s">
        <v>1299</v>
      </c>
      <c r="C140" s="286">
        <v>1</v>
      </c>
      <c r="D140" s="307" t="s">
        <v>1470</v>
      </c>
      <c r="E140" s="292">
        <f>IFERROR(VLOOKUP(Table5[[#This Row],[HCPCS code 2016 Q1]], ASP2016Q1[], 4, FALSE), "")</f>
        <v>10.467000000000001</v>
      </c>
      <c r="F140" s="303">
        <f>IFERROR(Table5[[#This Row],[Payment Limit 2016Q1]]/Table5[[#This Row],[HCPCS code dosage 2016Q1]], "")</f>
        <v>10.467000000000001</v>
      </c>
      <c r="G140" s="286" t="s">
        <v>1299</v>
      </c>
      <c r="H140" s="286">
        <v>1</v>
      </c>
      <c r="I140" s="307" t="s">
        <v>1470</v>
      </c>
      <c r="J140" s="292">
        <f>IFERROR(VLOOKUP(Table5[[#This Row],[HCPCS code 2016 Q3]], ASP2016Q3[], 4, FALSE), "")</f>
        <v>10.657</v>
      </c>
      <c r="K140" s="303">
        <f>IFERROR(Table5[[#This Row],[Payment Limit 2016Q3]]/Table5[[#This Row],[HCPCS code dosage 2016Q3]], "")</f>
        <v>10.657</v>
      </c>
      <c r="L140" s="286" t="s">
        <v>1299</v>
      </c>
      <c r="M140" s="286">
        <v>1</v>
      </c>
      <c r="N140" s="307" t="s">
        <v>1470</v>
      </c>
      <c r="O140" s="291">
        <f>IFERROR(VLOOKUP(Table5[[#This Row],[HCPCS code 2017 Q1]], ASP2017Q1[], 4, FALSE), "")</f>
        <v>10.904</v>
      </c>
      <c r="P140" s="302">
        <f>IFERROR(Table5[[#This Row],[Payment Limit 2017Q1]]/Table5[[#This Row],[HCPCS code dosage 2017Q1]], "")</f>
        <v>10.904</v>
      </c>
      <c r="Q140" s="275" t="s">
        <v>1299</v>
      </c>
      <c r="R140" s="275">
        <v>1</v>
      </c>
      <c r="S140" s="275" t="s">
        <v>1470</v>
      </c>
      <c r="T140" s="279">
        <f>IFERROR(VLOOKUP(Table5[[#This Row],[HCPCS code 2017 Q3]], ASP2017Q3[], 4, FALSE), "")</f>
        <v>11.114000000000001</v>
      </c>
      <c r="U140" s="279">
        <f>IFERROR(Table5[[#This Row],[Payment Limit 2017Q3]]/Table5[[#This Row],[HCPCS code dosage 2017Q3]], "")</f>
        <v>11.114000000000001</v>
      </c>
      <c r="V140" s="374" t="s">
        <v>1299</v>
      </c>
      <c r="W140" s="377">
        <v>1</v>
      </c>
      <c r="X140" s="142" t="s">
        <v>1470</v>
      </c>
      <c r="Y140" s="279">
        <v>11.433</v>
      </c>
      <c r="Z140" s="370">
        <f>IFERROR(Table5[[#This Row],[Payment Limit 2018 Q1]]/Table5[[#This Row],[HCPCS code dosage 2018 Q1]],"")</f>
        <v>11.433</v>
      </c>
      <c r="AA140" s="374" t="s">
        <v>1299</v>
      </c>
      <c r="AB140" s="381">
        <v>1</v>
      </c>
      <c r="AC140" s="142" t="s">
        <v>1470</v>
      </c>
      <c r="AD140" s="378">
        <v>11.807</v>
      </c>
      <c r="AE140" s="370">
        <f>IFERROR(Table5[[#This Row],[Payment Limit 2018 Q3]]/Table5[[#This Row],[HCPCS code dosage 2018 Q3]],"")</f>
        <v>11.807</v>
      </c>
      <c r="AF140" s="275" t="s">
        <v>1299</v>
      </c>
      <c r="AG140" s="122">
        <v>12.2</v>
      </c>
      <c r="AH140" s="117" t="s">
        <v>1299</v>
      </c>
      <c r="AI140" s="118" t="s">
        <v>1665</v>
      </c>
      <c r="AJ140" s="118" t="s">
        <v>1470</v>
      </c>
      <c r="AK140" s="115">
        <f>IFERROR(VLOOKUP(Table5[[#This Row],[HCPCS code 2019Q3]], ASP2019Q3[], 4, FALSE), "")</f>
        <v>12.25</v>
      </c>
      <c r="AL140" s="72">
        <f>IFERROR(Table5[[#This Row],[Payment Limit 2019Q3]]/Table5[[#This Row],[HCPCS code dosage 2019Q3]], "")</f>
        <v>12.25</v>
      </c>
      <c r="AM140" s="130" t="s">
        <v>1299</v>
      </c>
      <c r="AN140" s="130" t="s">
        <v>1665</v>
      </c>
      <c r="AO140" s="130" t="s">
        <v>1470</v>
      </c>
      <c r="AP140" s="126">
        <f>IFERROR(VLOOKUP(Table5[[#This Row],[HCPCS code 2020Q1]], ASP2020Q1[], 4, FALSE), "")</f>
        <v>12.617000000000001</v>
      </c>
      <c r="AQ140" s="77">
        <f>IFERROR(Table5[[#This Row],[Payment Limit 2020Q1]]/Table5[[#This Row],[HCPCS code dosage 2020Q1]], "")</f>
        <v>12.617000000000001</v>
      </c>
      <c r="AR140" s="133" t="s">
        <v>1299</v>
      </c>
      <c r="AS140" s="130" t="s">
        <v>1665</v>
      </c>
      <c r="AT140" s="130" t="s">
        <v>1470</v>
      </c>
      <c r="AU140" s="132">
        <f>IFERROR(VLOOKUP(Table5[[#This Row],[HCPCS code 2020Q3]], ASP2020Q3[], 4, FALSE), "")</f>
        <v>12.942</v>
      </c>
      <c r="AV140" s="72">
        <f>IFERROR(Table5[[#This Row],[Payment limit 2020Q3]]/Table5[[#This Row],[HCPCS code dosage 2020Q3]],"")</f>
        <v>12.942</v>
      </c>
      <c r="AW140" s="144" t="s">
        <v>1299</v>
      </c>
      <c r="AX140" s="118" t="s">
        <v>1665</v>
      </c>
      <c r="AY140" s="144" t="s">
        <v>1470</v>
      </c>
      <c r="AZ140" s="144">
        <f>IFERROR(VLOOKUP(Table5[[#This Row],[HCPCS code 2021Q1]], ASP2021Q1[], 4, FALSE), "")</f>
        <v>12.984999999999999</v>
      </c>
      <c r="BA140" s="122">
        <f>IFERROR(Table5[[#This Row],[Payment limit 2021Q1]]/Table5[[#This Row],[HCPCS code dosage 2021Q1]], "")</f>
        <v>12.984999999999999</v>
      </c>
      <c r="BB140" s="147" t="s">
        <v>1299</v>
      </c>
      <c r="BC140" s="118" t="s">
        <v>1665</v>
      </c>
      <c r="BD140" s="144" t="s">
        <v>1470</v>
      </c>
      <c r="BE140" s="144">
        <f>IFERROR(VLOOKUP(Table5[[#This Row],[HCPCS code 2021Q3]], ASP2021Q3[], 4, FALSE), "")</f>
        <v>13.529</v>
      </c>
      <c r="BF140" s="122">
        <f>IFERROR(Table5[[#This Row],[Payment limit 2021Q3]]/Table5[[#This Row],[HCPCS code dosage 2021Q3]], "")</f>
        <v>13.529</v>
      </c>
      <c r="BG140" s="147" t="s">
        <v>1299</v>
      </c>
      <c r="BH140" s="118" t="s">
        <v>1665</v>
      </c>
      <c r="BI140" s="144" t="s">
        <v>1470</v>
      </c>
      <c r="BJ140" s="144">
        <f>IFERROR(VLOOKUP(Table5[[#This Row],[HCPCS code 2022Q1]], ASP2022Q1[], 4, FALSE), "")</f>
        <v>13.555</v>
      </c>
      <c r="BK140" s="122">
        <f>IFERROR(Table5[[#This Row],[Payment limit 2022Q1]]/Table5[[#This Row],[HCPCS code dosage 2022Q1]], "")</f>
        <v>13.555</v>
      </c>
      <c r="BL140" s="144" t="s">
        <v>1299</v>
      </c>
      <c r="BM140" s="184">
        <v>1</v>
      </c>
      <c r="BN140" s="144" t="s">
        <v>1470</v>
      </c>
      <c r="BO140" s="144">
        <f>IFERROR(VLOOKUP(Table5[[#This Row],[HCPCS Code 2022Q3]], ASP2022Q3[], 4, FALSE), "")</f>
        <v>14.151999999999999</v>
      </c>
      <c r="BP140" s="122">
        <f>IFERROR(Table5[[#This Row],[Payment limit 2022Q3]]/Table5[[#This Row],[HCPCS code dosage 2022Q3]], "")</f>
        <v>14.151999999999999</v>
      </c>
      <c r="BQ140" s="144" t="s">
        <v>1299</v>
      </c>
      <c r="BR140" s="118">
        <v>1</v>
      </c>
      <c r="BS140" s="144" t="s">
        <v>1470</v>
      </c>
      <c r="BT140" s="144">
        <v>14.407999999999999</v>
      </c>
      <c r="BU140" s="144">
        <f>IFERROR(Table5[[#This Row],[Payment limit 2023Q1]]/Table5[[#This Row],[HCPCS code dosage 2023Q1]], "")</f>
        <v>14.407999999999999</v>
      </c>
      <c r="BV140" s="79"/>
    </row>
    <row r="141" spans="1:74" x14ac:dyDescent="0.3">
      <c r="A141" s="69" t="s">
        <v>1915</v>
      </c>
      <c r="B141" s="273"/>
      <c r="C141" s="273"/>
      <c r="D141" s="275"/>
      <c r="E141" s="280" t="str">
        <f>IFERROR(VLOOKUP(Table5[[#This Row],[HCPCS code 2016 Q1]], ASP2016Q1[], 4, FALSE), "")</f>
        <v/>
      </c>
      <c r="F141" s="305" t="str">
        <f>IFERROR(Table5[[#This Row],[Payment Limit 2016Q1]]/Table5[[#This Row],[HCPCS code dosage 2016Q1]], "")</f>
        <v/>
      </c>
      <c r="G141" s="273"/>
      <c r="H141" s="273"/>
      <c r="I141" s="275"/>
      <c r="J141" s="280" t="str">
        <f>IFERROR(VLOOKUP(Table5[[#This Row],[HCPCS code 2016 Q3]], ASP2016Q3[], 4, FALSE), "")</f>
        <v/>
      </c>
      <c r="K141" s="305" t="str">
        <f>IFERROR(Table5[[#This Row],[Payment Limit 2016Q3]]/Table5[[#This Row],[HCPCS code dosage 2016Q3]], "")</f>
        <v/>
      </c>
      <c r="L141" s="273"/>
      <c r="M141" s="273"/>
      <c r="N141" s="275"/>
      <c r="O141" s="291" t="str">
        <f>IFERROR(VLOOKUP(Table5[[#This Row],[HCPCS code 2017 Q1]], ASP2017Q1[], 4, FALSE), "")</f>
        <v/>
      </c>
      <c r="P141" s="302" t="str">
        <f>IFERROR(Table5[[#This Row],[Payment Limit 2017Q1]]/Table5[[#This Row],[HCPCS code dosage 2017Q1]], "")</f>
        <v/>
      </c>
      <c r="Q141" s="142" t="s">
        <v>1600</v>
      </c>
      <c r="R141" s="142" t="s">
        <v>2434</v>
      </c>
      <c r="S141" s="142"/>
      <c r="T141" s="279" t="str">
        <f>IFERROR(VLOOKUP(Table5[[#This Row],[HCPCS code 2017 Q3]], ASP2017Q3[], 4, FALSE), "")</f>
        <v/>
      </c>
      <c r="U141" s="279" t="str">
        <f>IFERROR(Table5[[#This Row],[Payment Limit 2017Q3]]/Table5[[#This Row],[HCPCS code dosage 2017Q3]], "")</f>
        <v/>
      </c>
      <c r="V141" s="374"/>
      <c r="W141" s="377"/>
      <c r="X141" s="142"/>
      <c r="Y141" s="279"/>
      <c r="Z141" s="370"/>
      <c r="AA141" s="374"/>
      <c r="AB141" s="381"/>
      <c r="AC141" s="142"/>
      <c r="AD141" s="378"/>
      <c r="AE141" s="370"/>
      <c r="AF141" s="142"/>
      <c r="AG141" s="516"/>
      <c r="AH141" s="117"/>
      <c r="AI141" s="118"/>
      <c r="AJ141" s="118"/>
      <c r="AK141" s="139" t="str">
        <f>IFERROR(VLOOKUP(Table5[[#This Row],[HCPCS code 2019Q3]], ASP2019Q3[], 4, FALSE), "")</f>
        <v/>
      </c>
      <c r="AL141" s="72" t="str">
        <f>IFERROR(Table5[[#This Row],[Payment Limit 2019Q3]]/Table5[[#This Row],[HCPCS code dosage 2019Q3]], "")</f>
        <v/>
      </c>
      <c r="AM141" s="130"/>
      <c r="AN141" s="130"/>
      <c r="AO141" s="130"/>
      <c r="AP141" s="126" t="str">
        <f>IFERROR(VLOOKUP(Table5[[#This Row],[HCPCS code 2020Q1]], ASP2020Q1[], 4, FALSE), "")</f>
        <v/>
      </c>
      <c r="AQ141" s="77" t="str">
        <f>IFERROR(Table5[[#This Row],[Payment Limit 2020Q1]]/Table5[[#This Row],[HCPCS code dosage 2020Q1]], "")</f>
        <v/>
      </c>
      <c r="AR141" s="133" t="s">
        <v>1600</v>
      </c>
      <c r="AS141" s="130">
        <v>1</v>
      </c>
      <c r="AT141" s="130" t="s">
        <v>1470</v>
      </c>
      <c r="AU141" s="132">
        <f>IFERROR(VLOOKUP(Table5[[#This Row],[HCPCS code 2020Q3]], ASP2020Q3[], 4, FALSE), "")</f>
        <v>111.301</v>
      </c>
      <c r="AV141" s="72">
        <f>IFERROR(Table5[[#This Row],[Payment limit 2020Q3]]/Table5[[#This Row],[HCPCS code dosage 2020Q3]],"")</f>
        <v>111.301</v>
      </c>
      <c r="AW141" s="144" t="s">
        <v>1600</v>
      </c>
      <c r="AX141" s="118">
        <v>1</v>
      </c>
      <c r="AY141" s="144" t="s">
        <v>1470</v>
      </c>
      <c r="AZ141" s="144">
        <f>IFERROR(VLOOKUP(Table5[[#This Row],[HCPCS code 2021Q1]], ASP2021Q1[], 4, FALSE), "")</f>
        <v>112.11499999999999</v>
      </c>
      <c r="BA141" s="122">
        <f>IFERROR(Table5[[#This Row],[Payment limit 2021Q1]]/Table5[[#This Row],[HCPCS code dosage 2021Q1]], "")</f>
        <v>112.11499999999999</v>
      </c>
      <c r="BB141" s="147" t="s">
        <v>1600</v>
      </c>
      <c r="BC141" s="118">
        <v>1</v>
      </c>
      <c r="BD141" s="144" t="s">
        <v>1470</v>
      </c>
      <c r="BE141" s="144">
        <f>IFERROR(VLOOKUP(Table5[[#This Row],[HCPCS code 2021Q3]], ASP2021Q3[], 4, FALSE), "")</f>
        <v>113.571</v>
      </c>
      <c r="BF141" s="122">
        <f>IFERROR(Table5[[#This Row],[Payment limit 2021Q3]]/Table5[[#This Row],[HCPCS code dosage 2021Q3]], "")</f>
        <v>113.571</v>
      </c>
      <c r="BG141" s="147" t="s">
        <v>1600</v>
      </c>
      <c r="BH141" s="118">
        <v>1</v>
      </c>
      <c r="BI141" s="144" t="s">
        <v>1470</v>
      </c>
      <c r="BJ141" s="144">
        <f>IFERROR(VLOOKUP(Table5[[#This Row],[HCPCS code 2022Q1]], ASP2022Q1[], 4, FALSE), "")</f>
        <v>113.571</v>
      </c>
      <c r="BK141" s="122">
        <f>IFERROR(Table5[[#This Row],[Payment limit 2022Q1]]/Table5[[#This Row],[HCPCS code dosage 2022Q1]], "")</f>
        <v>113.571</v>
      </c>
      <c r="BL141" s="144" t="s">
        <v>1600</v>
      </c>
      <c r="BM141" s="184">
        <v>1</v>
      </c>
      <c r="BN141" s="144" t="s">
        <v>1470</v>
      </c>
      <c r="BO141" s="144">
        <f>IFERROR(VLOOKUP(Table5[[#This Row],[HCPCS Code 2022Q3]], ASP2022Q3[], 4, FALSE), "")</f>
        <v>117.809</v>
      </c>
      <c r="BP141" s="122">
        <f>IFERROR(Table5[[#This Row],[Payment limit 2022Q3]]/Table5[[#This Row],[HCPCS code dosage 2022Q3]], "")</f>
        <v>117.809</v>
      </c>
      <c r="BQ141" s="144" t="s">
        <v>1600</v>
      </c>
      <c r="BR141" s="118">
        <v>1</v>
      </c>
      <c r="BS141" s="144" t="s">
        <v>1470</v>
      </c>
      <c r="BT141" s="144">
        <v>118.114</v>
      </c>
      <c r="BU141" s="144">
        <f>IFERROR(Table5[[#This Row],[Payment limit 2023Q1]]/Table5[[#This Row],[HCPCS code dosage 2023Q1]], "")</f>
        <v>118.114</v>
      </c>
      <c r="BV141" s="79"/>
    </row>
    <row r="142" spans="1:74" x14ac:dyDescent="0.3">
      <c r="A142" s="62" t="s">
        <v>1523</v>
      </c>
      <c r="B142" s="286"/>
      <c r="C142" s="286"/>
      <c r="D142" s="307"/>
      <c r="E142" s="292" t="str">
        <f>IFERROR(VLOOKUP(Table5[[#This Row],[HCPCS code 2016 Q1]], ASP2016Q1[], 4, FALSE), "")</f>
        <v/>
      </c>
      <c r="F142" s="303" t="str">
        <f>IFERROR(Table5[[#This Row],[Payment Limit 2016Q1]]/Table5[[#This Row],[HCPCS code dosage 2016Q1]], "")</f>
        <v/>
      </c>
      <c r="G142" s="286"/>
      <c r="H142" s="286"/>
      <c r="I142" s="307"/>
      <c r="J142" s="292" t="str">
        <f>IFERROR(VLOOKUP(Table5[[#This Row],[HCPCS code 2016 Q3]], ASP2016Q3[], 4, FALSE), "")</f>
        <v/>
      </c>
      <c r="K142" s="303" t="str">
        <f>IFERROR(Table5[[#This Row],[Payment Limit 2016Q3]]/Table5[[#This Row],[HCPCS code dosage 2016Q3]], "")</f>
        <v/>
      </c>
      <c r="L142" s="286"/>
      <c r="M142" s="286"/>
      <c r="N142" s="307"/>
      <c r="O142" s="291" t="str">
        <f>IFERROR(VLOOKUP(Table5[[#This Row],[HCPCS code 2017 Q1]], ASP2017Q1[], 4, FALSE), "")</f>
        <v/>
      </c>
      <c r="P142" s="302" t="str">
        <f>IFERROR(Table5[[#This Row],[Payment Limit 2017Q1]]/Table5[[#This Row],[HCPCS code dosage 2017Q1]], "")</f>
        <v/>
      </c>
      <c r="Q142" s="275" t="s">
        <v>1600</v>
      </c>
      <c r="R142" s="275" t="s">
        <v>2434</v>
      </c>
      <c r="S142" s="275"/>
      <c r="T142" s="279" t="str">
        <f>IFERROR(VLOOKUP(Table5[[#This Row],[HCPCS code 2017 Q3]], ASP2017Q3[], 4, FALSE), "")</f>
        <v/>
      </c>
      <c r="U142" s="279" t="str">
        <f>IFERROR(Table5[[#This Row],[Payment Limit 2017Q3]]/Table5[[#This Row],[HCPCS code dosage 2017Q3]], "")</f>
        <v/>
      </c>
      <c r="V142" s="374"/>
      <c r="W142" s="377"/>
      <c r="X142" s="142"/>
      <c r="Y142" s="279"/>
      <c r="Z142" s="370"/>
      <c r="AA142" s="374"/>
      <c r="AB142" s="381"/>
      <c r="AC142" s="142"/>
      <c r="AD142" s="378"/>
      <c r="AE142" s="370"/>
      <c r="AF142" s="275" t="s">
        <v>1600</v>
      </c>
      <c r="AG142" s="122"/>
      <c r="AH142" s="117" t="s">
        <v>1600</v>
      </c>
      <c r="AI142" s="118">
        <v>1</v>
      </c>
      <c r="AJ142" s="118" t="s">
        <v>1470</v>
      </c>
      <c r="AK142" s="115" t="str">
        <f>IFERROR(VLOOKUP(Table5[[#This Row],[HCPCS code 2019Q3]], ASP2019Q3[], 4, FALSE), "")</f>
        <v/>
      </c>
      <c r="AL142" s="72" t="str">
        <f>IFERROR(Table5[[#This Row],[Payment Limit 2019Q3]]/Table5[[#This Row],[HCPCS code dosage 2019Q3]], "")</f>
        <v/>
      </c>
      <c r="AM142" s="117" t="s">
        <v>1600</v>
      </c>
      <c r="AN142" s="130">
        <v>1</v>
      </c>
      <c r="AO142" s="130" t="s">
        <v>1470</v>
      </c>
      <c r="AP142" s="126">
        <f>IFERROR(VLOOKUP(Table5[[#This Row],[HCPCS code 2020Q1]], ASP2020Q1[], 4, FALSE), "")</f>
        <v>113.383</v>
      </c>
      <c r="AQ142" s="77">
        <f>IFERROR(Table5[[#This Row],[Payment Limit 2020Q1]]/Table5[[#This Row],[HCPCS code dosage 2020Q1]], "")</f>
        <v>113.383</v>
      </c>
      <c r="AR142" s="117" t="s">
        <v>1600</v>
      </c>
      <c r="AS142" s="130">
        <v>1</v>
      </c>
      <c r="AT142" s="130" t="s">
        <v>1470</v>
      </c>
      <c r="AU142" s="132">
        <f>IFERROR(VLOOKUP(Table5[[#This Row],[HCPCS code 2020Q3]], ASP2020Q3[], 4, FALSE), "")</f>
        <v>111.301</v>
      </c>
      <c r="AV142" s="72">
        <f>IFERROR(Table5[[#This Row],[Payment limit 2020Q3]]/Table5[[#This Row],[HCPCS code dosage 2020Q3]],"")</f>
        <v>111.301</v>
      </c>
      <c r="AW142" s="144" t="s">
        <v>1600</v>
      </c>
      <c r="AX142" s="118">
        <v>1</v>
      </c>
      <c r="AY142" s="144" t="s">
        <v>1470</v>
      </c>
      <c r="AZ142" s="144">
        <f>IFERROR(VLOOKUP(Table5[[#This Row],[HCPCS code 2021Q1]], ASP2021Q1[], 4, FALSE), "")</f>
        <v>112.11499999999999</v>
      </c>
      <c r="BA142" s="122">
        <f>IFERROR(Table5[[#This Row],[Payment limit 2021Q1]]/Table5[[#This Row],[HCPCS code dosage 2021Q1]], "")</f>
        <v>112.11499999999999</v>
      </c>
      <c r="BB142" s="147" t="s">
        <v>1600</v>
      </c>
      <c r="BC142" s="118">
        <v>1</v>
      </c>
      <c r="BD142" s="144" t="s">
        <v>1470</v>
      </c>
      <c r="BE142" s="144">
        <f>IFERROR(VLOOKUP(Table5[[#This Row],[HCPCS code 2021Q3]], ASP2021Q3[], 4, FALSE), "")</f>
        <v>113.571</v>
      </c>
      <c r="BF142" s="122">
        <f>IFERROR(Table5[[#This Row],[Payment limit 2021Q3]]/Table5[[#This Row],[HCPCS code dosage 2021Q3]], "")</f>
        <v>113.571</v>
      </c>
      <c r="BG142" s="147" t="s">
        <v>1600</v>
      </c>
      <c r="BH142" s="118">
        <v>1</v>
      </c>
      <c r="BI142" s="144" t="s">
        <v>1470</v>
      </c>
      <c r="BJ142" s="144">
        <f>IFERROR(VLOOKUP(Table5[[#This Row],[HCPCS code 2022Q1]], ASP2022Q1[], 4, FALSE), "")</f>
        <v>113.571</v>
      </c>
      <c r="BK142" s="122">
        <f>IFERROR(Table5[[#This Row],[Payment limit 2022Q1]]/Table5[[#This Row],[HCPCS code dosage 2022Q1]], "")</f>
        <v>113.571</v>
      </c>
      <c r="BL142" s="144" t="s">
        <v>1600</v>
      </c>
      <c r="BM142" s="184">
        <v>1</v>
      </c>
      <c r="BN142" s="144" t="s">
        <v>1470</v>
      </c>
      <c r="BO142" s="144">
        <f>IFERROR(VLOOKUP(Table5[[#This Row],[HCPCS Code 2022Q3]], ASP2022Q3[], 4, FALSE), "")</f>
        <v>117.809</v>
      </c>
      <c r="BP142" s="122">
        <f>IFERROR(Table5[[#This Row],[Payment limit 2022Q3]]/Table5[[#This Row],[HCPCS code dosage 2022Q3]], "")</f>
        <v>117.809</v>
      </c>
      <c r="BQ142" s="144" t="s">
        <v>1600</v>
      </c>
      <c r="BR142" s="118">
        <v>1</v>
      </c>
      <c r="BS142" s="144" t="s">
        <v>1470</v>
      </c>
      <c r="BT142" s="144">
        <v>118.114</v>
      </c>
      <c r="BU142" s="144">
        <f>IFERROR(Table5[[#This Row],[Payment limit 2023Q1]]/Table5[[#This Row],[HCPCS code dosage 2023Q1]], "")</f>
        <v>118.114</v>
      </c>
      <c r="BV142" s="79" t="s">
        <v>1526</v>
      </c>
    </row>
    <row r="143" spans="1:74" x14ac:dyDescent="0.3">
      <c r="A143" s="62" t="s">
        <v>175</v>
      </c>
      <c r="B143" s="286" t="s">
        <v>1062</v>
      </c>
      <c r="C143" s="286">
        <v>5</v>
      </c>
      <c r="D143" s="307" t="s">
        <v>1470</v>
      </c>
      <c r="E143" s="292">
        <f>IFERROR(VLOOKUP(Table5[[#This Row],[HCPCS code 2016 Q1]], ASP2016Q1[], 4, FALSE), "")</f>
        <v>0.125</v>
      </c>
      <c r="F143" s="303">
        <f>IFERROR(Table5[[#This Row],[Payment Limit 2016Q1]]/Table5[[#This Row],[HCPCS code dosage 2016Q1]], "")</f>
        <v>2.5000000000000001E-2</v>
      </c>
      <c r="G143" s="286" t="s">
        <v>1062</v>
      </c>
      <c r="H143" s="286">
        <v>5</v>
      </c>
      <c r="I143" s="307" t="s">
        <v>1470</v>
      </c>
      <c r="J143" s="292">
        <f>IFERROR(VLOOKUP(Table5[[#This Row],[HCPCS code 2016 Q3]], ASP2016Q3[], 4, FALSE), "")</f>
        <v>0.122</v>
      </c>
      <c r="K143" s="303">
        <f>IFERROR(Table5[[#This Row],[Payment Limit 2016Q3]]/Table5[[#This Row],[HCPCS code dosage 2016Q3]], "")</f>
        <v>2.4399999999999998E-2</v>
      </c>
      <c r="L143" s="286" t="s">
        <v>1062</v>
      </c>
      <c r="M143" s="286">
        <v>5</v>
      </c>
      <c r="N143" s="307" t="s">
        <v>1470</v>
      </c>
      <c r="O143" s="291">
        <f>IFERROR(VLOOKUP(Table5[[#This Row],[HCPCS code 2017 Q1]], ASP2017Q1[], 4, FALSE), "")</f>
        <v>0.106</v>
      </c>
      <c r="P143" s="302">
        <f>IFERROR(Table5[[#This Row],[Payment Limit 2017Q1]]/Table5[[#This Row],[HCPCS code dosage 2017Q1]], "")</f>
        <v>2.12E-2</v>
      </c>
      <c r="Q143" s="275" t="s">
        <v>1062</v>
      </c>
      <c r="R143" s="275">
        <v>5</v>
      </c>
      <c r="S143" s="275" t="s">
        <v>1470</v>
      </c>
      <c r="T143" s="279">
        <f>IFERROR(VLOOKUP(Table5[[#This Row],[HCPCS code 2017 Q3]], ASP2017Q3[], 4, FALSE), "")</f>
        <v>6.4000000000000001E-2</v>
      </c>
      <c r="U143" s="279">
        <f>IFERROR(Table5[[#This Row],[Payment Limit 2017Q3]]/Table5[[#This Row],[HCPCS code dosage 2017Q3]], "")</f>
        <v>1.2800000000000001E-2</v>
      </c>
      <c r="V143" s="374" t="s">
        <v>1062</v>
      </c>
      <c r="W143" s="377">
        <v>5</v>
      </c>
      <c r="X143" s="142" t="s">
        <v>1470</v>
      </c>
      <c r="Y143" s="279">
        <v>7.9000000000000001E-2</v>
      </c>
      <c r="Z143" s="370">
        <f>IFERROR(Table5[[#This Row],[Payment Limit 2018 Q1]]/Table5[[#This Row],[HCPCS code dosage 2018 Q1]],"")</f>
        <v>1.5800000000000002E-2</v>
      </c>
      <c r="AA143" s="374" t="s">
        <v>1062</v>
      </c>
      <c r="AB143" s="381">
        <v>5</v>
      </c>
      <c r="AC143" s="142" t="s">
        <v>1470</v>
      </c>
      <c r="AD143" s="378">
        <v>6.5000000000000002E-2</v>
      </c>
      <c r="AE143" s="370">
        <f>IFERROR(Table5[[#This Row],[Payment Limit 2018 Q3]]/Table5[[#This Row],[HCPCS code dosage 2018 Q3]],"")</f>
        <v>1.3000000000000001E-2</v>
      </c>
      <c r="AF143" s="275" t="s">
        <v>1062</v>
      </c>
      <c r="AG143" s="122">
        <v>1.12E-2</v>
      </c>
      <c r="AH143" s="117" t="s">
        <v>1062</v>
      </c>
      <c r="AI143" s="118" t="s">
        <v>1666</v>
      </c>
      <c r="AJ143" s="118" t="s">
        <v>1470</v>
      </c>
      <c r="AK143" s="115">
        <f>IFERROR(VLOOKUP(Table5[[#This Row],[HCPCS code 2019Q3]], ASP2019Q3[], 4, FALSE), "")</f>
        <v>8.1000000000000003E-2</v>
      </c>
      <c r="AL143" s="72">
        <f>IFERROR(Table5[[#This Row],[Payment Limit 2019Q3]]/Table5[[#This Row],[HCPCS code dosage 2019Q3]], "")</f>
        <v>1.6199999999999999E-2</v>
      </c>
      <c r="AM143" s="130" t="s">
        <v>1062</v>
      </c>
      <c r="AN143" s="130" t="s">
        <v>1666</v>
      </c>
      <c r="AO143" s="130" t="s">
        <v>1470</v>
      </c>
      <c r="AP143" s="126">
        <f>IFERROR(VLOOKUP(Table5[[#This Row],[HCPCS code 2020Q1]], ASP2020Q1[], 4, FALSE), "")</f>
        <v>9.1999999999999998E-2</v>
      </c>
      <c r="AQ143" s="77">
        <f>IFERROR(Table5[[#This Row],[Payment Limit 2020Q1]]/Table5[[#This Row],[HCPCS code dosage 2020Q1]], "")</f>
        <v>1.84E-2</v>
      </c>
      <c r="AR143" s="133" t="s">
        <v>1062</v>
      </c>
      <c r="AS143" s="130" t="s">
        <v>1666</v>
      </c>
      <c r="AT143" s="130" t="s">
        <v>1470</v>
      </c>
      <c r="AU143" s="132">
        <f>IFERROR(VLOOKUP(Table5[[#This Row],[HCPCS code 2020Q3]], ASP2020Q3[], 4, FALSE), "")</f>
        <v>0.121</v>
      </c>
      <c r="AV143" s="72">
        <f>IFERROR(Table5[[#This Row],[Payment limit 2020Q3]]/Table5[[#This Row],[HCPCS code dosage 2020Q3]],"")</f>
        <v>2.4199999999999999E-2</v>
      </c>
      <c r="AW143" s="144" t="s">
        <v>1062</v>
      </c>
      <c r="AX143" s="118" t="s">
        <v>1666</v>
      </c>
      <c r="AY143" s="144" t="s">
        <v>1470</v>
      </c>
      <c r="AZ143" s="144">
        <f>IFERROR(VLOOKUP(Table5[[#This Row],[HCPCS code 2021Q1]], ASP2021Q1[], 4, FALSE), "")</f>
        <v>0.128</v>
      </c>
      <c r="BA143" s="122">
        <f>IFERROR(Table5[[#This Row],[Payment limit 2021Q1]]/Table5[[#This Row],[HCPCS code dosage 2021Q1]], "")</f>
        <v>2.5600000000000001E-2</v>
      </c>
      <c r="BB143" s="147" t="s">
        <v>1062</v>
      </c>
      <c r="BC143" s="118" t="s">
        <v>1666</v>
      </c>
      <c r="BD143" s="144" t="s">
        <v>1470</v>
      </c>
      <c r="BE143" s="144">
        <f>IFERROR(VLOOKUP(Table5[[#This Row],[HCPCS code 2021Q3]], ASP2021Q3[], 4, FALSE), "")</f>
        <v>0.12</v>
      </c>
      <c r="BF143" s="122">
        <f>IFERROR(Table5[[#This Row],[Payment limit 2021Q3]]/Table5[[#This Row],[HCPCS code dosage 2021Q3]], "")</f>
        <v>2.4E-2</v>
      </c>
      <c r="BG143" s="147" t="s">
        <v>1062</v>
      </c>
      <c r="BH143" s="118" t="s">
        <v>1666</v>
      </c>
      <c r="BI143" s="144" t="s">
        <v>1470</v>
      </c>
      <c r="BJ143" s="144">
        <f>IFERROR(VLOOKUP(Table5[[#This Row],[HCPCS code 2022Q1]], ASP2022Q1[], 4, FALSE), "")</f>
        <v>0.251</v>
      </c>
      <c r="BK143" s="122">
        <f>IFERROR(Table5[[#This Row],[Payment limit 2022Q1]]/Table5[[#This Row],[HCPCS code dosage 2022Q1]], "")</f>
        <v>5.0200000000000002E-2</v>
      </c>
      <c r="BL143" s="144" t="s">
        <v>1062</v>
      </c>
      <c r="BM143" s="184">
        <v>5</v>
      </c>
      <c r="BN143" s="144" t="s">
        <v>1470</v>
      </c>
      <c r="BO143" s="144">
        <f>IFERROR(VLOOKUP(Table5[[#This Row],[HCPCS Code 2022Q3]], ASP2022Q3[], 4, FALSE), "")</f>
        <v>0.23400000000000001</v>
      </c>
      <c r="BP143" s="122">
        <f>IFERROR(Table5[[#This Row],[Payment limit 2022Q3]]/Table5[[#This Row],[HCPCS code dosage 2022Q3]], "")</f>
        <v>4.6800000000000001E-2</v>
      </c>
      <c r="BQ143" s="144" t="s">
        <v>1062</v>
      </c>
      <c r="BR143" s="118">
        <v>5</v>
      </c>
      <c r="BS143" s="144" t="s">
        <v>1470</v>
      </c>
      <c r="BT143" s="144">
        <v>0.23</v>
      </c>
      <c r="BU143" s="144">
        <f>IFERROR(Table5[[#This Row],[Payment limit 2023Q1]]/Table5[[#This Row],[HCPCS code dosage 2023Q1]], "")</f>
        <v>4.5999999999999999E-2</v>
      </c>
      <c r="BV143" s="79"/>
    </row>
    <row r="144" spans="1:74" x14ac:dyDescent="0.3">
      <c r="A144" s="62" t="s">
        <v>180</v>
      </c>
      <c r="B144" s="286" t="s">
        <v>1066</v>
      </c>
      <c r="C144" s="286">
        <v>1</v>
      </c>
      <c r="D144" s="307" t="s">
        <v>1470</v>
      </c>
      <c r="E144" s="292">
        <f>IFERROR(VLOOKUP(Table5[[#This Row],[HCPCS code 2016 Q1]], ASP2016Q1[], 4, FALSE), "")</f>
        <v>1.2999999999999999E-2</v>
      </c>
      <c r="F144" s="303">
        <f>IFERROR(Table5[[#This Row],[Payment Limit 2016Q1]]/Table5[[#This Row],[HCPCS code dosage 2016Q1]], "")</f>
        <v>1.2999999999999999E-2</v>
      </c>
      <c r="G144" s="286" t="s">
        <v>1066</v>
      </c>
      <c r="H144" s="286">
        <v>1</v>
      </c>
      <c r="I144" s="307" t="s">
        <v>1470</v>
      </c>
      <c r="J144" s="292">
        <f>IFERROR(VLOOKUP(Table5[[#This Row],[HCPCS code 2016 Q3]], ASP2016Q3[], 4, FALSE), "")</f>
        <v>0.01</v>
      </c>
      <c r="K144" s="303">
        <f>IFERROR(Table5[[#This Row],[Payment Limit 2016Q3]]/Table5[[#This Row],[HCPCS code dosage 2016Q3]], "")</f>
        <v>0.01</v>
      </c>
      <c r="L144" s="286" t="s">
        <v>1066</v>
      </c>
      <c r="M144" s="286">
        <v>1</v>
      </c>
      <c r="N144" s="307" t="s">
        <v>1470</v>
      </c>
      <c r="O144" s="291">
        <f>IFERROR(VLOOKUP(Table5[[#This Row],[HCPCS code 2017 Q1]], ASP2017Q1[], 4, FALSE), "")</f>
        <v>0.01</v>
      </c>
      <c r="P144" s="302">
        <f>IFERROR(Table5[[#This Row],[Payment Limit 2017Q1]]/Table5[[#This Row],[HCPCS code dosage 2017Q1]], "")</f>
        <v>0.01</v>
      </c>
      <c r="Q144" s="275" t="s">
        <v>1066</v>
      </c>
      <c r="R144" s="275">
        <v>1</v>
      </c>
      <c r="S144" s="275" t="s">
        <v>1470</v>
      </c>
      <c r="T144" s="279">
        <f>IFERROR(VLOOKUP(Table5[[#This Row],[HCPCS code 2017 Q3]], ASP2017Q3[], 4, FALSE), "")</f>
        <v>8.9999999999999993E-3</v>
      </c>
      <c r="U144" s="279">
        <f>IFERROR(Table5[[#This Row],[Payment Limit 2017Q3]]/Table5[[#This Row],[HCPCS code dosage 2017Q3]], "")</f>
        <v>8.9999999999999993E-3</v>
      </c>
      <c r="V144" s="374" t="s">
        <v>1066</v>
      </c>
      <c r="W144" s="377">
        <v>1</v>
      </c>
      <c r="X144" s="142" t="s">
        <v>1470</v>
      </c>
      <c r="Y144" s="279">
        <v>1.4E-2</v>
      </c>
      <c r="Z144" s="370">
        <f>IFERROR(Table5[[#This Row],[Payment Limit 2018 Q1]]/Table5[[#This Row],[HCPCS code dosage 2018 Q1]],"")</f>
        <v>1.4E-2</v>
      </c>
      <c r="AA144" s="374" t="s">
        <v>1066</v>
      </c>
      <c r="AB144" s="381">
        <v>1</v>
      </c>
      <c r="AC144" s="142" t="s">
        <v>1470</v>
      </c>
      <c r="AD144" s="378">
        <v>1.4999999999999999E-2</v>
      </c>
      <c r="AE144" s="370">
        <f>IFERROR(Table5[[#This Row],[Payment Limit 2018 Q3]]/Table5[[#This Row],[HCPCS code dosage 2018 Q3]],"")</f>
        <v>1.4999999999999999E-2</v>
      </c>
      <c r="AF144" s="275" t="s">
        <v>1066</v>
      </c>
      <c r="AG144" s="122">
        <v>1.7999999999999999E-2</v>
      </c>
      <c r="AH144" s="117" t="s">
        <v>1066</v>
      </c>
      <c r="AI144" s="118" t="s">
        <v>1665</v>
      </c>
      <c r="AJ144" s="118" t="s">
        <v>1470</v>
      </c>
      <c r="AK144" s="115">
        <f>IFERROR(VLOOKUP(Table5[[#This Row],[HCPCS code 2019Q3]], ASP2019Q3[], 4, FALSE), "")</f>
        <v>1.4999999999999999E-2</v>
      </c>
      <c r="AL144" s="72">
        <f>IFERROR(Table5[[#This Row],[Payment Limit 2019Q3]]/Table5[[#This Row],[HCPCS code dosage 2019Q3]], "")</f>
        <v>1.4999999999999999E-2</v>
      </c>
      <c r="AM144" s="130" t="s">
        <v>1066</v>
      </c>
      <c r="AN144" s="130" t="s">
        <v>1665</v>
      </c>
      <c r="AO144" s="130" t="s">
        <v>1470</v>
      </c>
      <c r="AP144" s="126">
        <f>IFERROR(VLOOKUP(Table5[[#This Row],[HCPCS code 2020Q1]], ASP2020Q1[], 4, FALSE), "")</f>
        <v>1.2E-2</v>
      </c>
      <c r="AQ144" s="77">
        <f>IFERROR(Table5[[#This Row],[Payment Limit 2020Q1]]/Table5[[#This Row],[HCPCS code dosage 2020Q1]], "")</f>
        <v>1.2E-2</v>
      </c>
      <c r="AR144" s="133" t="s">
        <v>1066</v>
      </c>
      <c r="AS144" s="130" t="s">
        <v>1665</v>
      </c>
      <c r="AT144" s="130" t="s">
        <v>1470</v>
      </c>
      <c r="AU144" s="132">
        <f>IFERROR(VLOOKUP(Table5[[#This Row],[HCPCS code 2020Q3]], ASP2020Q3[], 4, FALSE), "")</f>
        <v>1.2E-2</v>
      </c>
      <c r="AV144" s="72">
        <f>IFERROR(Table5[[#This Row],[Payment limit 2020Q3]]/Table5[[#This Row],[HCPCS code dosage 2020Q3]],"")</f>
        <v>1.2E-2</v>
      </c>
      <c r="AW144" s="144" t="s">
        <v>1066</v>
      </c>
      <c r="AX144" s="118" t="s">
        <v>1665</v>
      </c>
      <c r="AY144" s="144" t="s">
        <v>1470</v>
      </c>
      <c r="AZ144" s="144">
        <f>IFERROR(VLOOKUP(Table5[[#This Row],[HCPCS code 2021Q1]], ASP2021Q1[], 4, FALSE), "")</f>
        <v>1.2E-2</v>
      </c>
      <c r="BA144" s="122">
        <f>IFERROR(Table5[[#This Row],[Payment limit 2021Q1]]/Table5[[#This Row],[HCPCS code dosage 2021Q1]], "")</f>
        <v>1.2E-2</v>
      </c>
      <c r="BB144" s="147" t="s">
        <v>1066</v>
      </c>
      <c r="BC144" s="118" t="s">
        <v>1665</v>
      </c>
      <c r="BD144" s="144" t="s">
        <v>1470</v>
      </c>
      <c r="BE144" s="144">
        <f>IFERROR(VLOOKUP(Table5[[#This Row],[HCPCS code 2021Q3]], ASP2021Q3[], 4, FALSE), "")</f>
        <v>1.4E-2</v>
      </c>
      <c r="BF144" s="122">
        <f>IFERROR(Table5[[#This Row],[Payment limit 2021Q3]]/Table5[[#This Row],[HCPCS code dosage 2021Q3]], "")</f>
        <v>1.4E-2</v>
      </c>
      <c r="BG144" s="147" t="s">
        <v>1066</v>
      </c>
      <c r="BH144" s="118" t="s">
        <v>1665</v>
      </c>
      <c r="BI144" s="144" t="s">
        <v>1470</v>
      </c>
      <c r="BJ144" s="144">
        <f>IFERROR(VLOOKUP(Table5[[#This Row],[HCPCS code 2022Q1]], ASP2022Q1[], 4, FALSE), "")</f>
        <v>1.6E-2</v>
      </c>
      <c r="BK144" s="122">
        <f>IFERROR(Table5[[#This Row],[Payment limit 2022Q1]]/Table5[[#This Row],[HCPCS code dosage 2022Q1]], "")</f>
        <v>1.6E-2</v>
      </c>
      <c r="BL144" s="144" t="s">
        <v>1066</v>
      </c>
      <c r="BM144" s="184">
        <v>1</v>
      </c>
      <c r="BN144" s="144" t="s">
        <v>1470</v>
      </c>
      <c r="BO144" s="144">
        <f>IFERROR(VLOOKUP(Table5[[#This Row],[HCPCS Code 2022Q3]], ASP2022Q3[], 4, FALSE), "")</f>
        <v>1.4E-2</v>
      </c>
      <c r="BP144" s="122">
        <f>IFERROR(Table5[[#This Row],[Payment limit 2022Q3]]/Table5[[#This Row],[HCPCS code dosage 2022Q3]], "")</f>
        <v>1.4E-2</v>
      </c>
      <c r="BQ144" s="144" t="s">
        <v>1066</v>
      </c>
      <c r="BR144" s="118">
        <v>1</v>
      </c>
      <c r="BS144" s="144" t="s">
        <v>1470</v>
      </c>
      <c r="BT144" s="144">
        <v>1.7999999999999999E-2</v>
      </c>
      <c r="BU144" s="144">
        <f>IFERROR(Table5[[#This Row],[Payment limit 2023Q1]]/Table5[[#This Row],[HCPCS code dosage 2023Q1]], "")</f>
        <v>1.7999999999999999E-2</v>
      </c>
      <c r="BV144" s="79"/>
    </row>
    <row r="145" spans="1:74" x14ac:dyDescent="0.3">
      <c r="A145" s="62" t="s">
        <v>100</v>
      </c>
      <c r="B145" s="286" t="s">
        <v>1066</v>
      </c>
      <c r="C145" s="286">
        <v>1</v>
      </c>
      <c r="D145" s="307" t="s">
        <v>1470</v>
      </c>
      <c r="E145" s="292">
        <f>IFERROR(VLOOKUP(Table5[[#This Row],[HCPCS code 2016 Q1]], ASP2016Q1[], 4, FALSE), "")</f>
        <v>1.2999999999999999E-2</v>
      </c>
      <c r="F145" s="303">
        <f>IFERROR(Table5[[#This Row],[Payment Limit 2016Q1]]/Table5[[#This Row],[HCPCS code dosage 2016Q1]], "")</f>
        <v>1.2999999999999999E-2</v>
      </c>
      <c r="G145" s="286" t="s">
        <v>1066</v>
      </c>
      <c r="H145" s="286">
        <v>1</v>
      </c>
      <c r="I145" s="307" t="s">
        <v>1470</v>
      </c>
      <c r="J145" s="292">
        <f>IFERROR(VLOOKUP(Table5[[#This Row],[HCPCS code 2016 Q3]], ASP2016Q3[], 4, FALSE), "")</f>
        <v>0.01</v>
      </c>
      <c r="K145" s="303">
        <f>IFERROR(Table5[[#This Row],[Payment Limit 2016Q3]]/Table5[[#This Row],[HCPCS code dosage 2016Q3]], "")</f>
        <v>0.01</v>
      </c>
      <c r="L145" s="286" t="s">
        <v>1066</v>
      </c>
      <c r="M145" s="286">
        <v>1</v>
      </c>
      <c r="N145" s="307" t="s">
        <v>1470</v>
      </c>
      <c r="O145" s="291">
        <f>IFERROR(VLOOKUP(Table5[[#This Row],[HCPCS code 2017 Q1]], ASP2017Q1[], 4, FALSE), "")</f>
        <v>0.01</v>
      </c>
      <c r="P145" s="302">
        <f>IFERROR(Table5[[#This Row],[Payment Limit 2017Q1]]/Table5[[#This Row],[HCPCS code dosage 2017Q1]], "")</f>
        <v>0.01</v>
      </c>
      <c r="Q145" s="275" t="s">
        <v>1066</v>
      </c>
      <c r="R145" s="275">
        <v>1</v>
      </c>
      <c r="S145" s="275" t="s">
        <v>1470</v>
      </c>
      <c r="T145" s="279">
        <f>IFERROR(VLOOKUP(Table5[[#This Row],[HCPCS code 2017 Q3]], ASP2017Q3[], 4, FALSE), "")</f>
        <v>8.9999999999999993E-3</v>
      </c>
      <c r="U145" s="279">
        <f>IFERROR(Table5[[#This Row],[Payment Limit 2017Q3]]/Table5[[#This Row],[HCPCS code dosage 2017Q3]], "")</f>
        <v>8.9999999999999993E-3</v>
      </c>
      <c r="V145" s="374" t="s">
        <v>1066</v>
      </c>
      <c r="W145" s="377">
        <v>1</v>
      </c>
      <c r="X145" s="142" t="s">
        <v>1470</v>
      </c>
      <c r="Y145" s="279">
        <v>1.4E-2</v>
      </c>
      <c r="Z145" s="370">
        <f>IFERROR(Table5[[#This Row],[Payment Limit 2018 Q1]]/Table5[[#This Row],[HCPCS code dosage 2018 Q1]],"")</f>
        <v>1.4E-2</v>
      </c>
      <c r="AA145" s="374" t="s">
        <v>1066</v>
      </c>
      <c r="AB145" s="381">
        <v>1</v>
      </c>
      <c r="AC145" s="142" t="s">
        <v>1470</v>
      </c>
      <c r="AD145" s="378">
        <v>1.4999999999999999E-2</v>
      </c>
      <c r="AE145" s="370">
        <f>IFERROR(Table5[[#This Row],[Payment Limit 2018 Q3]]/Table5[[#This Row],[HCPCS code dosage 2018 Q3]],"")</f>
        <v>1.4999999999999999E-2</v>
      </c>
      <c r="AF145" s="275" t="s">
        <v>1066</v>
      </c>
      <c r="AG145" s="122">
        <v>1.7999999999999999E-2</v>
      </c>
      <c r="AH145" s="117" t="s">
        <v>1066</v>
      </c>
      <c r="AI145" s="118" t="s">
        <v>1665</v>
      </c>
      <c r="AJ145" s="118" t="s">
        <v>1470</v>
      </c>
      <c r="AK145" s="115">
        <f>IFERROR(VLOOKUP(Table5[[#This Row],[HCPCS code 2019Q3]], ASP2019Q3[], 4, FALSE), "")</f>
        <v>1.4999999999999999E-2</v>
      </c>
      <c r="AL145" s="72">
        <f>IFERROR(Table5[[#This Row],[Payment Limit 2019Q3]]/Table5[[#This Row],[HCPCS code dosage 2019Q3]], "")</f>
        <v>1.4999999999999999E-2</v>
      </c>
      <c r="AM145" s="130" t="s">
        <v>1066</v>
      </c>
      <c r="AN145" s="130" t="s">
        <v>1665</v>
      </c>
      <c r="AO145" s="130" t="s">
        <v>1470</v>
      </c>
      <c r="AP145" s="126">
        <f>IFERROR(VLOOKUP(Table5[[#This Row],[HCPCS code 2020Q1]], ASP2020Q1[], 4, FALSE), "")</f>
        <v>1.2E-2</v>
      </c>
      <c r="AQ145" s="77">
        <f>IFERROR(Table5[[#This Row],[Payment Limit 2020Q1]]/Table5[[#This Row],[HCPCS code dosage 2020Q1]], "")</f>
        <v>1.2E-2</v>
      </c>
      <c r="AR145" s="133" t="s">
        <v>1066</v>
      </c>
      <c r="AS145" s="130" t="s">
        <v>1665</v>
      </c>
      <c r="AT145" s="130" t="s">
        <v>1470</v>
      </c>
      <c r="AU145" s="132">
        <f>IFERROR(VLOOKUP(Table5[[#This Row],[HCPCS code 2020Q3]], ASP2020Q3[], 4, FALSE), "")</f>
        <v>1.2E-2</v>
      </c>
      <c r="AV145" s="72">
        <f>IFERROR(Table5[[#This Row],[Payment limit 2020Q3]]/Table5[[#This Row],[HCPCS code dosage 2020Q3]],"")</f>
        <v>1.2E-2</v>
      </c>
      <c r="AW145" s="144" t="s">
        <v>1066</v>
      </c>
      <c r="AX145" s="118" t="s">
        <v>1665</v>
      </c>
      <c r="AY145" s="144" t="s">
        <v>1470</v>
      </c>
      <c r="AZ145" s="144">
        <f>IFERROR(VLOOKUP(Table5[[#This Row],[HCPCS code 2021Q1]], ASP2021Q1[], 4, FALSE), "")</f>
        <v>1.2E-2</v>
      </c>
      <c r="BA145" s="122">
        <f>IFERROR(Table5[[#This Row],[Payment limit 2021Q1]]/Table5[[#This Row],[HCPCS code dosage 2021Q1]], "")</f>
        <v>1.2E-2</v>
      </c>
      <c r="BB145" s="147" t="s">
        <v>1066</v>
      </c>
      <c r="BC145" s="118" t="s">
        <v>1665</v>
      </c>
      <c r="BD145" s="144" t="s">
        <v>1470</v>
      </c>
      <c r="BE145" s="144">
        <f>IFERROR(VLOOKUP(Table5[[#This Row],[HCPCS code 2021Q3]], ASP2021Q3[], 4, FALSE), "")</f>
        <v>1.4E-2</v>
      </c>
      <c r="BF145" s="122">
        <f>IFERROR(Table5[[#This Row],[Payment limit 2021Q3]]/Table5[[#This Row],[HCPCS code dosage 2021Q3]], "")</f>
        <v>1.4E-2</v>
      </c>
      <c r="BG145" s="147" t="s">
        <v>1066</v>
      </c>
      <c r="BH145" s="118" t="s">
        <v>1665</v>
      </c>
      <c r="BI145" s="144" t="s">
        <v>1470</v>
      </c>
      <c r="BJ145" s="144">
        <f>IFERROR(VLOOKUP(Table5[[#This Row],[HCPCS code 2022Q1]], ASP2022Q1[], 4, FALSE), "")</f>
        <v>1.6E-2</v>
      </c>
      <c r="BK145" s="122">
        <f>IFERROR(Table5[[#This Row],[Payment limit 2022Q1]]/Table5[[#This Row],[HCPCS code dosage 2022Q1]], "")</f>
        <v>1.6E-2</v>
      </c>
      <c r="BL145" s="144" t="s">
        <v>1066</v>
      </c>
      <c r="BM145" s="184">
        <v>1</v>
      </c>
      <c r="BN145" s="144" t="s">
        <v>1470</v>
      </c>
      <c r="BO145" s="144">
        <f>IFERROR(VLOOKUP(Table5[[#This Row],[HCPCS Code 2022Q3]], ASP2022Q3[], 4, FALSE), "")</f>
        <v>1.4E-2</v>
      </c>
      <c r="BP145" s="122">
        <f>IFERROR(Table5[[#This Row],[Payment limit 2022Q3]]/Table5[[#This Row],[HCPCS code dosage 2022Q3]], "")</f>
        <v>1.4E-2</v>
      </c>
      <c r="BQ145" s="144" t="s">
        <v>1066</v>
      </c>
      <c r="BR145" s="118">
        <v>1</v>
      </c>
      <c r="BS145" s="144" t="s">
        <v>1470</v>
      </c>
      <c r="BT145" s="144">
        <v>1.7999999999999999E-2</v>
      </c>
      <c r="BU145" s="144">
        <f>IFERROR(Table5[[#This Row],[Payment limit 2023Q1]]/Table5[[#This Row],[HCPCS code dosage 2023Q1]], "")</f>
        <v>1.7999999999999999E-2</v>
      </c>
      <c r="BV145" s="79"/>
    </row>
    <row r="146" spans="1:74" x14ac:dyDescent="0.3">
      <c r="A146" s="69" t="s">
        <v>1709</v>
      </c>
      <c r="B146" s="273" t="s">
        <v>448</v>
      </c>
      <c r="C146" s="273">
        <v>10</v>
      </c>
      <c r="D146" s="275" t="s">
        <v>1470</v>
      </c>
      <c r="E146" s="280">
        <f>IFERROR(VLOOKUP(Table5[[#This Row],[HCPCS code 2016 Q1]], ASP2016Q1[], 4, FALSE), "")</f>
        <v>13.09</v>
      </c>
      <c r="F146" s="305">
        <f>IFERROR(Table5[[#This Row],[Payment Limit 2016Q1]]/Table5[[#This Row],[HCPCS code dosage 2016Q1]], "")</f>
        <v>1.3089999999999999</v>
      </c>
      <c r="G146" s="273" t="s">
        <v>448</v>
      </c>
      <c r="H146" s="273">
        <v>10</v>
      </c>
      <c r="I146" s="275" t="s">
        <v>1470</v>
      </c>
      <c r="J146" s="280">
        <f>IFERROR(VLOOKUP(Table5[[#This Row],[HCPCS code 2016 Q3]], ASP2016Q3[], 4, FALSE), "")</f>
        <v>12.587</v>
      </c>
      <c r="K146" s="305">
        <f>IFERROR(Table5[[#This Row],[Payment Limit 2016Q3]]/Table5[[#This Row],[HCPCS code dosage 2016Q3]], "")</f>
        <v>1.2586999999999999</v>
      </c>
      <c r="L146" s="273" t="s">
        <v>448</v>
      </c>
      <c r="M146" s="273">
        <v>10</v>
      </c>
      <c r="N146" s="275" t="s">
        <v>1470</v>
      </c>
      <c r="O146" s="291">
        <f>IFERROR(VLOOKUP(Table5[[#This Row],[HCPCS code 2017 Q1]], ASP2017Q1[], 4, FALSE), "")</f>
        <v>12.170999999999999</v>
      </c>
      <c r="P146" s="302">
        <f>IFERROR(Table5[[#This Row],[Payment Limit 2017Q1]]/Table5[[#This Row],[HCPCS code dosage 2017Q1]], "")</f>
        <v>1.2170999999999998</v>
      </c>
      <c r="Q146" s="275" t="s">
        <v>448</v>
      </c>
      <c r="R146" s="275">
        <v>10</v>
      </c>
      <c r="S146" s="275" t="s">
        <v>1470</v>
      </c>
      <c r="T146" s="280">
        <f>IFERROR(VLOOKUP(Table5[[#This Row],[HCPCS code 2017 Q3]], ASP2017Q3[], 4, FALSE), "")</f>
        <v>11.978999999999999</v>
      </c>
      <c r="U146" s="280">
        <f>IFERROR(Table5[[#This Row],[Payment Limit 2017Q3]]/Table5[[#This Row],[HCPCS code dosage 2017Q3]], "")</f>
        <v>1.1979</v>
      </c>
      <c r="V146" s="374" t="s">
        <v>448</v>
      </c>
      <c r="W146" s="377">
        <v>10</v>
      </c>
      <c r="X146" s="142" t="s">
        <v>1470</v>
      </c>
      <c r="Y146" s="280">
        <v>9.7569999999999997</v>
      </c>
      <c r="Z146" s="305">
        <f>IFERROR(Table5[[#This Row],[Payment Limit 2018 Q1]]/Table5[[#This Row],[HCPCS code dosage 2018 Q1]],"")</f>
        <v>0.97570000000000001</v>
      </c>
      <c r="AA146" s="374" t="s">
        <v>448</v>
      </c>
      <c r="AB146" s="381">
        <v>10</v>
      </c>
      <c r="AC146" s="142" t="s">
        <v>1470</v>
      </c>
      <c r="AD146" s="378">
        <v>10.052</v>
      </c>
      <c r="AE146" s="305">
        <f>IFERROR(Table5[[#This Row],[Payment Limit 2018 Q3]]/Table5[[#This Row],[HCPCS code dosage 2018 Q3]],"")</f>
        <v>1.0051999999999999</v>
      </c>
      <c r="AF146" s="273" t="s">
        <v>448</v>
      </c>
      <c r="AG146" s="122">
        <v>1.0061</v>
      </c>
      <c r="AH146" s="117" t="s">
        <v>448</v>
      </c>
      <c r="AI146" s="118">
        <v>10</v>
      </c>
      <c r="AJ146" s="118" t="s">
        <v>1470</v>
      </c>
      <c r="AK146" s="115">
        <f>IFERROR(VLOOKUP(Table5[[#This Row],[HCPCS code 2019Q3]], ASP2019Q3[], 4, FALSE), "")</f>
        <v>10.339</v>
      </c>
      <c r="AL146" s="72">
        <f>IFERROR(Table5[[#This Row],[Payment Limit 2019Q3]]/Table5[[#This Row],[HCPCS code dosage 2019Q3]], "")</f>
        <v>1.0339</v>
      </c>
      <c r="AM146" s="130" t="s">
        <v>448</v>
      </c>
      <c r="AN146" s="130">
        <v>10</v>
      </c>
      <c r="AO146" s="130" t="s">
        <v>1470</v>
      </c>
      <c r="AP146" s="126">
        <f>IFERROR(VLOOKUP(Table5[[#This Row],[HCPCS code 2020Q1]], ASP2020Q1[], 4, FALSE), "")</f>
        <v>8.6389999999999993</v>
      </c>
      <c r="AQ146" s="77">
        <f>IFERROR(Table5[[#This Row],[Payment Limit 2020Q1]]/Table5[[#This Row],[HCPCS code dosage 2020Q1]], "")</f>
        <v>0.86389999999999989</v>
      </c>
      <c r="AR146" s="133" t="s">
        <v>448</v>
      </c>
      <c r="AS146" s="130">
        <v>10</v>
      </c>
      <c r="AT146" s="130" t="s">
        <v>1470</v>
      </c>
      <c r="AU146" s="132">
        <f>IFERROR(VLOOKUP(Table5[[#This Row],[HCPCS code 2020Q3]], ASP2020Q3[], 4, FALSE), "")</f>
        <v>6.4249999999999998</v>
      </c>
      <c r="AV146" s="72">
        <f>IFERROR(Table5[[#This Row],[Payment limit 2020Q3]]/Table5[[#This Row],[HCPCS code dosage 2020Q3]],"")</f>
        <v>0.64249999999999996</v>
      </c>
      <c r="AW146" s="144" t="s">
        <v>448</v>
      </c>
      <c r="AX146" s="118">
        <v>10</v>
      </c>
      <c r="AY146" s="144" t="s">
        <v>1470</v>
      </c>
      <c r="AZ146" s="144">
        <f>IFERROR(VLOOKUP(Table5[[#This Row],[HCPCS code 2021Q1]], ASP2021Q1[], 4, FALSE), "")</f>
        <v>5.0720000000000001</v>
      </c>
      <c r="BA146" s="122">
        <f>IFERROR(Table5[[#This Row],[Payment limit 2021Q1]]/Table5[[#This Row],[HCPCS code dosage 2021Q1]], "")</f>
        <v>0.50719999999999998</v>
      </c>
      <c r="BB146" s="147" t="s">
        <v>448</v>
      </c>
      <c r="BC146" s="118">
        <v>10</v>
      </c>
      <c r="BD146" s="144" t="s">
        <v>1470</v>
      </c>
      <c r="BE146" s="144">
        <f>IFERROR(VLOOKUP(Table5[[#This Row],[HCPCS code 2021Q3]], ASP2021Q3[], 4, FALSE), "")</f>
        <v>5.1820000000000004</v>
      </c>
      <c r="BF146" s="122">
        <f>IFERROR(Table5[[#This Row],[Payment limit 2021Q3]]/Table5[[#This Row],[HCPCS code dosage 2021Q3]], "")</f>
        <v>0.51819999999999999</v>
      </c>
      <c r="BG146" s="147" t="s">
        <v>448</v>
      </c>
      <c r="BH146" s="118">
        <v>10</v>
      </c>
      <c r="BI146" s="144" t="s">
        <v>1470</v>
      </c>
      <c r="BJ146" s="144">
        <f>IFERROR(VLOOKUP(Table5[[#This Row],[HCPCS code 2022Q1]], ASP2022Q1[], 4, FALSE), "")</f>
        <v>4.1859999999999999</v>
      </c>
      <c r="BK146" s="122">
        <f>IFERROR(Table5[[#This Row],[Payment limit 2022Q1]]/Table5[[#This Row],[HCPCS code dosage 2022Q1]], "")</f>
        <v>0.41859999999999997</v>
      </c>
      <c r="BL146" s="144" t="s">
        <v>448</v>
      </c>
      <c r="BM146" s="184">
        <v>10</v>
      </c>
      <c r="BN146" s="144" t="s">
        <v>1470</v>
      </c>
      <c r="BO146" s="144">
        <f>IFERROR(VLOOKUP(Table5[[#This Row],[HCPCS Code 2022Q3]], ASP2022Q3[], 4, FALSE), "")</f>
        <v>3.9950000000000001</v>
      </c>
      <c r="BP146" s="122">
        <f>IFERROR(Table5[[#This Row],[Payment limit 2022Q3]]/Table5[[#This Row],[HCPCS code dosage 2022Q3]], "")</f>
        <v>0.39950000000000002</v>
      </c>
      <c r="BQ146" s="144" t="s">
        <v>448</v>
      </c>
      <c r="BR146" s="118">
        <v>10</v>
      </c>
      <c r="BS146" s="144" t="s">
        <v>1470</v>
      </c>
      <c r="BT146" s="144">
        <v>2.9510000000000001</v>
      </c>
      <c r="BU146" s="144">
        <f>IFERROR(Table5[[#This Row],[Payment limit 2023Q1]]/Table5[[#This Row],[HCPCS code dosage 2023Q1]], "")</f>
        <v>0.29510000000000003</v>
      </c>
      <c r="BV146" s="79"/>
    </row>
    <row r="147" spans="1:74" x14ac:dyDescent="0.3">
      <c r="A147" s="69" t="s">
        <v>1703</v>
      </c>
      <c r="B147" s="273" t="s">
        <v>1364</v>
      </c>
      <c r="C147" s="273">
        <v>5</v>
      </c>
      <c r="D147" s="275" t="s">
        <v>1470</v>
      </c>
      <c r="E147" s="280">
        <f>IFERROR(VLOOKUP(Table5[[#This Row],[HCPCS code 2016 Q1]], ASP2016Q1[], 4, FALSE), "")</f>
        <v>4.4999999999999998E-2</v>
      </c>
      <c r="F147" s="305">
        <f>IFERROR(Table5[[#This Row],[Payment Limit 2016Q1]]/Table5[[#This Row],[HCPCS code dosage 2016Q1]], "")</f>
        <v>8.9999999999999993E-3</v>
      </c>
      <c r="G147" s="273" t="s">
        <v>1364</v>
      </c>
      <c r="H147" s="273">
        <v>5</v>
      </c>
      <c r="I147" s="275" t="s">
        <v>1470</v>
      </c>
      <c r="J147" s="280">
        <f>IFERROR(VLOOKUP(Table5[[#This Row],[HCPCS code 2016 Q3]], ASP2016Q3[], 4, FALSE), "")</f>
        <v>6.5000000000000002E-2</v>
      </c>
      <c r="K147" s="305">
        <f>IFERROR(Table5[[#This Row],[Payment Limit 2016Q3]]/Table5[[#This Row],[HCPCS code dosage 2016Q3]], "")</f>
        <v>1.3000000000000001E-2</v>
      </c>
      <c r="L147" s="273" t="s">
        <v>1364</v>
      </c>
      <c r="M147" s="273">
        <v>5</v>
      </c>
      <c r="N147" s="275" t="s">
        <v>1470</v>
      </c>
      <c r="O147" s="291">
        <f>IFERROR(VLOOKUP(Table5[[#This Row],[HCPCS code 2017 Q1]], ASP2017Q1[], 4, FALSE), "")</f>
        <v>3.5999999999999997E-2</v>
      </c>
      <c r="P147" s="302">
        <f>IFERROR(Table5[[#This Row],[Payment Limit 2017Q1]]/Table5[[#This Row],[HCPCS code dosage 2017Q1]], "")</f>
        <v>7.1999999999999998E-3</v>
      </c>
      <c r="Q147" s="275" t="s">
        <v>1364</v>
      </c>
      <c r="R147" s="275">
        <v>5</v>
      </c>
      <c r="S147" s="273"/>
      <c r="T147" s="280">
        <f>IFERROR(VLOOKUP(Table5[[#This Row],[HCPCS code 2017 Q3]], ASP2017Q3[], 4, FALSE), "")</f>
        <v>4.2000000000000003E-2</v>
      </c>
      <c r="U147" s="280">
        <f>IFERROR(Table5[[#This Row],[Payment Limit 2017Q3]]/Table5[[#This Row],[HCPCS code dosage 2017Q3]], "")</f>
        <v>8.4000000000000012E-3</v>
      </c>
      <c r="V147" s="374" t="s">
        <v>1364</v>
      </c>
      <c r="W147" s="377">
        <v>5</v>
      </c>
      <c r="X147" s="142">
        <v>0</v>
      </c>
      <c r="Y147" s="280">
        <v>4.1000000000000002E-2</v>
      </c>
      <c r="Z147" s="305">
        <f>IFERROR(Table5[[#This Row],[Payment Limit 2018 Q1]]/Table5[[#This Row],[HCPCS code dosage 2018 Q1]],"")</f>
        <v>8.2000000000000007E-3</v>
      </c>
      <c r="AA147" s="374" t="s">
        <v>1364</v>
      </c>
      <c r="AB147" s="381">
        <v>5</v>
      </c>
      <c r="AC147" s="142">
        <v>0</v>
      </c>
      <c r="AD147" s="378">
        <v>3.1E-2</v>
      </c>
      <c r="AE147" s="305">
        <f>IFERROR(Table5[[#This Row],[Payment Limit 2018 Q3]]/Table5[[#This Row],[HCPCS code dosage 2018 Q3]],"")</f>
        <v>6.1999999999999998E-3</v>
      </c>
      <c r="AF147" s="273" t="s">
        <v>1364</v>
      </c>
      <c r="AG147" s="122">
        <v>7.000000000000001E-3</v>
      </c>
      <c r="AH147" s="117" t="s">
        <v>1364</v>
      </c>
      <c r="AI147" s="118">
        <v>5</v>
      </c>
      <c r="AJ147" s="118" t="s">
        <v>1470</v>
      </c>
      <c r="AK147" s="115">
        <f>IFERROR(VLOOKUP(Table5[[#This Row],[HCPCS code 2019Q3]], ASP2019Q3[], 4, FALSE), "")</f>
        <v>0.32</v>
      </c>
      <c r="AL147" s="72">
        <f>IFERROR(Table5[[#This Row],[Payment Limit 2019Q3]]/Table5[[#This Row],[HCPCS code dosage 2019Q3]], "")</f>
        <v>6.4000000000000001E-2</v>
      </c>
      <c r="AM147" s="130" t="s">
        <v>1364</v>
      </c>
      <c r="AN147" s="130">
        <v>5</v>
      </c>
      <c r="AO147" s="130" t="s">
        <v>1470</v>
      </c>
      <c r="AP147" s="126">
        <f>IFERROR(VLOOKUP(Table5[[#This Row],[HCPCS code 2020Q1]], ASP2020Q1[], 4, FALSE), "")</f>
        <v>0.22500000000000001</v>
      </c>
      <c r="AQ147" s="77">
        <f>IFERROR(Table5[[#This Row],[Payment Limit 2020Q1]]/Table5[[#This Row],[HCPCS code dosage 2020Q1]], "")</f>
        <v>4.4999999999999998E-2</v>
      </c>
      <c r="AR147" s="133" t="s">
        <v>1364</v>
      </c>
      <c r="AS147" s="130">
        <v>5</v>
      </c>
      <c r="AT147" s="130" t="s">
        <v>1470</v>
      </c>
      <c r="AU147" s="132">
        <f>IFERROR(VLOOKUP(Table5[[#This Row],[HCPCS code 2020Q3]], ASP2020Q3[], 4, FALSE), "")</f>
        <v>0.22700000000000001</v>
      </c>
      <c r="AV147" s="72">
        <f>IFERROR(Table5[[#This Row],[Payment limit 2020Q3]]/Table5[[#This Row],[HCPCS code dosage 2020Q3]],"")</f>
        <v>4.5400000000000003E-2</v>
      </c>
      <c r="AW147" s="144" t="s">
        <v>1364</v>
      </c>
      <c r="AX147" s="118">
        <v>5</v>
      </c>
      <c r="AY147" s="144" t="s">
        <v>1470</v>
      </c>
      <c r="AZ147" s="144">
        <f>IFERROR(VLOOKUP(Table5[[#This Row],[HCPCS code 2021Q1]], ASP2021Q1[], 4, FALSE), "")</f>
        <v>0.29599999999999999</v>
      </c>
      <c r="BA147" s="122">
        <f>IFERROR(Table5[[#This Row],[Payment limit 2021Q1]]/Table5[[#This Row],[HCPCS code dosage 2021Q1]], "")</f>
        <v>5.9199999999999996E-2</v>
      </c>
      <c r="BB147" s="147" t="s">
        <v>1364</v>
      </c>
      <c r="BC147" s="118">
        <v>5</v>
      </c>
      <c r="BD147" s="144" t="s">
        <v>1470</v>
      </c>
      <c r="BE147" s="144">
        <f>IFERROR(VLOOKUP(Table5[[#This Row],[HCPCS code 2021Q3]], ASP2021Q3[], 4, FALSE), "")</f>
        <v>0.25600000000000001</v>
      </c>
      <c r="BF147" s="122">
        <f>IFERROR(Table5[[#This Row],[Payment limit 2021Q3]]/Table5[[#This Row],[HCPCS code dosage 2021Q3]], "")</f>
        <v>5.1200000000000002E-2</v>
      </c>
      <c r="BG147" s="147" t="s">
        <v>1364</v>
      </c>
      <c r="BH147" s="118">
        <v>5</v>
      </c>
      <c r="BI147" s="144" t="s">
        <v>1470</v>
      </c>
      <c r="BJ147" s="144">
        <f>IFERROR(VLOOKUP(Table5[[#This Row],[HCPCS code 2022Q1]], ASP2022Q1[], 4, FALSE), "")</f>
        <v>0.25600000000000001</v>
      </c>
      <c r="BK147" s="122">
        <f>IFERROR(Table5[[#This Row],[Payment limit 2022Q1]]/Table5[[#This Row],[HCPCS code dosage 2022Q1]], "")</f>
        <v>5.1200000000000002E-2</v>
      </c>
      <c r="BL147" s="144" t="s">
        <v>1364</v>
      </c>
      <c r="BM147" s="184">
        <v>5</v>
      </c>
      <c r="BN147" s="144" t="s">
        <v>1470</v>
      </c>
      <c r="BO147" s="144">
        <f>IFERROR(VLOOKUP(Table5[[#This Row],[HCPCS Code 2022Q3]], ASP2022Q3[], 4, FALSE), "")</f>
        <v>0.442</v>
      </c>
      <c r="BP147" s="122">
        <f>IFERROR(Table5[[#This Row],[Payment limit 2022Q3]]/Table5[[#This Row],[HCPCS code dosage 2022Q3]], "")</f>
        <v>8.8400000000000006E-2</v>
      </c>
      <c r="BQ147" s="244" t="s">
        <v>1364</v>
      </c>
      <c r="BR147" s="118"/>
      <c r="BS147" s="144"/>
      <c r="BT147" s="144" t="s">
        <v>2365</v>
      </c>
      <c r="BU147" s="144" t="str">
        <f>IFERROR(Table5[[#This Row],[Payment limit 2023Q1]]/Table5[[#This Row],[HCPCS code dosage 2023Q1]], "")</f>
        <v/>
      </c>
      <c r="BV147" s="79"/>
    </row>
    <row r="148" spans="1:74" x14ac:dyDescent="0.3">
      <c r="A148" s="62" t="s">
        <v>58</v>
      </c>
      <c r="B148" s="286" t="s">
        <v>258</v>
      </c>
      <c r="C148" s="286">
        <v>37</v>
      </c>
      <c r="D148" s="307" t="s">
        <v>1659</v>
      </c>
      <c r="E148" s="365">
        <v>131.85</v>
      </c>
      <c r="F148" s="303">
        <f>IFERROR(Table5[[#This Row],[Payment Limit 2016Q1]]/Table5[[#This Row],[HCPCS code dosage 2016Q1]], "")</f>
        <v>3.5635135135135134</v>
      </c>
      <c r="G148" s="286" t="s">
        <v>258</v>
      </c>
      <c r="H148" s="286">
        <v>37</v>
      </c>
      <c r="I148" s="307" t="s">
        <v>1659</v>
      </c>
      <c r="J148" s="292">
        <v>120.98</v>
      </c>
      <c r="K148" s="303">
        <f>IFERROR(Table5[[#This Row],[Payment Limit 2016Q3]]/Table5[[#This Row],[HCPCS code dosage 2016Q3]], "")</f>
        <v>3.2697297297297299</v>
      </c>
      <c r="L148" s="286" t="s">
        <v>258</v>
      </c>
      <c r="M148" s="286">
        <v>37</v>
      </c>
      <c r="N148" s="307" t="s">
        <v>1659</v>
      </c>
      <c r="O148" s="291">
        <v>126.36</v>
      </c>
      <c r="P148" s="302">
        <f>IFERROR(Table5[[#This Row],[Payment Limit 2017Q1]]/Table5[[#This Row],[HCPCS code dosage 2017Q1]], "")</f>
        <v>3.4151351351351353</v>
      </c>
      <c r="Q148" s="275" t="s">
        <v>258</v>
      </c>
      <c r="R148" s="275">
        <v>37</v>
      </c>
      <c r="S148" s="275" t="s">
        <v>1659</v>
      </c>
      <c r="T148" s="279">
        <v>126.36</v>
      </c>
      <c r="U148" s="279">
        <f>IFERROR(Table5[[#This Row],[Payment Limit 2017Q3]]/Table5[[#This Row],[HCPCS code dosage 2017Q3]], "")</f>
        <v>3.4151351351351353</v>
      </c>
      <c r="V148" s="374" t="s">
        <v>258</v>
      </c>
      <c r="W148" s="377">
        <v>37</v>
      </c>
      <c r="X148" s="142" t="s">
        <v>1659</v>
      </c>
      <c r="Y148" s="279">
        <v>128.88999999999999</v>
      </c>
      <c r="Z148" s="370">
        <f>IFERROR(Table5[[#This Row],[Payment Limit 2018 Q1]]/Table5[[#This Row],[HCPCS code dosage 2018 Q1]],"")</f>
        <v>3.4835135135135133</v>
      </c>
      <c r="AA148" s="374" t="s">
        <v>258</v>
      </c>
      <c r="AB148" s="381">
        <v>37</v>
      </c>
      <c r="AC148" s="142" t="s">
        <v>1659</v>
      </c>
      <c r="AD148" s="378">
        <v>131.85</v>
      </c>
      <c r="AE148" s="370">
        <f>IFERROR(Table5[[#This Row],[Payment Limit 2018 Q3]]/Table5[[#This Row],[HCPCS code dosage 2018 Q3]],"")</f>
        <v>3.5635135135135134</v>
      </c>
      <c r="AF148" s="275" t="s">
        <v>258</v>
      </c>
      <c r="AG148" s="122">
        <v>4.3618918918918919</v>
      </c>
      <c r="AH148" s="117" t="s">
        <v>258</v>
      </c>
      <c r="AI148" s="118">
        <v>37</v>
      </c>
      <c r="AJ148" s="118" t="s">
        <v>1659</v>
      </c>
      <c r="AK148" s="115">
        <f>IFERROR(VLOOKUP(Table5[[#This Row],[HCPCS code 2019Q3]], ASP2019Q3[], 4, FALSE), "")</f>
        <v>164.28</v>
      </c>
      <c r="AL148" s="72">
        <f>IFERROR(Table5[[#This Row],[Payment Limit 2019Q3]]/Table5[[#This Row],[HCPCS code dosage 2019Q3]], "")</f>
        <v>4.4400000000000004</v>
      </c>
      <c r="AM148" s="130" t="s">
        <v>258</v>
      </c>
      <c r="AN148" s="130">
        <v>37</v>
      </c>
      <c r="AO148" s="130" t="s">
        <v>1659</v>
      </c>
      <c r="AP148" s="126">
        <f>IFERROR(VLOOKUP(Table5[[#This Row],[HCPCS code 2020Q1]], ASP2020Q1[], 4, FALSE), "")</f>
        <v>164.38</v>
      </c>
      <c r="AQ148" s="77">
        <f>IFERROR(Table5[[#This Row],[Payment Limit 2020Q1]]/Table5[[#This Row],[HCPCS code dosage 2020Q1]], "")</f>
        <v>4.4427027027027028</v>
      </c>
      <c r="AR148" s="133" t="s">
        <v>258</v>
      </c>
      <c r="AS148" s="130">
        <v>37</v>
      </c>
      <c r="AT148" s="130" t="s">
        <v>1659</v>
      </c>
      <c r="AU148" s="132">
        <f>IFERROR(VLOOKUP(Table5[[#This Row],[HCPCS code 2020Q3]], ASP2020Q3[], 4, FALSE), "")</f>
        <v>166.02</v>
      </c>
      <c r="AV148" s="72">
        <f>IFERROR(Table5[[#This Row],[Payment limit 2020Q3]]/Table5[[#This Row],[HCPCS code dosage 2020Q3]],"")</f>
        <v>4.4870270270270272</v>
      </c>
      <c r="AW148" s="144" t="s">
        <v>258</v>
      </c>
      <c r="AX148" s="118">
        <v>37</v>
      </c>
      <c r="AY148" s="144" t="s">
        <v>1659</v>
      </c>
      <c r="AZ148" s="144">
        <f>IFERROR(VLOOKUP(Table5[[#This Row],[HCPCS code 2021Q1]], ASP2021Q1[], 4, FALSE), "")</f>
        <v>169.09</v>
      </c>
      <c r="BA148" s="122">
        <f>IFERROR(Table5[[#This Row],[Payment limit 2021Q1]]/Table5[[#This Row],[HCPCS code dosage 2021Q1]], "")</f>
        <v>4.57</v>
      </c>
      <c r="BB148" s="147" t="s">
        <v>258</v>
      </c>
      <c r="BC148" s="118">
        <v>37</v>
      </c>
      <c r="BD148" s="144" t="s">
        <v>1659</v>
      </c>
      <c r="BE148" s="144">
        <f>IFERROR(VLOOKUP(Table5[[#This Row],[HCPCS code 2021Q3]], ASP2021Q3[], 4, FALSE), "")</f>
        <v>169.09</v>
      </c>
      <c r="BF148" s="122">
        <f>IFERROR(Table5[[#This Row],[Payment limit 2021Q3]]/Table5[[#This Row],[HCPCS code dosage 2021Q3]], "")</f>
        <v>4.57</v>
      </c>
      <c r="BG148" s="147" t="s">
        <v>258</v>
      </c>
      <c r="BH148" s="118">
        <v>37</v>
      </c>
      <c r="BI148" s="144" t="s">
        <v>1659</v>
      </c>
      <c r="BJ148" s="144">
        <f>IFERROR(VLOOKUP(Table5[[#This Row],[HCPCS code 2022Q1]], ASP2022Q1[], 4, FALSE), "")</f>
        <v>174.02</v>
      </c>
      <c r="BK148" s="122">
        <f>IFERROR(Table5[[#This Row],[Payment limit 2022Q1]]/Table5[[#This Row],[HCPCS code dosage 2022Q1]], "")</f>
        <v>4.7032432432432438</v>
      </c>
      <c r="BL148" s="144" t="s">
        <v>258</v>
      </c>
      <c r="BM148" s="184">
        <v>37</v>
      </c>
      <c r="BN148" s="144" t="s">
        <v>1659</v>
      </c>
      <c r="BO148" s="144">
        <v>174.02</v>
      </c>
      <c r="BP148" s="122">
        <f>IFERROR(Table5[[#This Row],[Payment limit 2022Q3]]/Table5[[#This Row],[HCPCS code dosage 2022Q3]], "")</f>
        <v>4.7032432432432438</v>
      </c>
      <c r="BQ148" s="144" t="s">
        <v>258</v>
      </c>
      <c r="BR148" s="118">
        <v>1</v>
      </c>
      <c r="BS148" s="144" t="s">
        <v>2366</v>
      </c>
      <c r="BT148" s="144" t="s">
        <v>1551</v>
      </c>
      <c r="BU148" s="144" t="str">
        <f>IFERROR(Table5[[#This Row],[Payment limit 2023Q1]]/Table5[[#This Row],[HCPCS code dosage 2023Q1]], "")</f>
        <v/>
      </c>
      <c r="BV148" s="79" t="s">
        <v>2638</v>
      </c>
    </row>
    <row r="149" spans="1:74" x14ac:dyDescent="0.3">
      <c r="A149" s="62" t="s">
        <v>50</v>
      </c>
      <c r="B149" s="286" t="s">
        <v>1303</v>
      </c>
      <c r="C149" s="286">
        <v>5</v>
      </c>
      <c r="D149" s="307" t="s">
        <v>1470</v>
      </c>
      <c r="E149" s="292">
        <f>IFERROR(VLOOKUP(Table5[[#This Row],[HCPCS code 2016 Q1]], ASP2016Q1[], 4, FALSE), "")</f>
        <v>54.015000000000001</v>
      </c>
      <c r="F149" s="303">
        <f>IFERROR(Table5[[#This Row],[Payment Limit 2016Q1]]/Table5[[#This Row],[HCPCS code dosage 2016Q1]], "")</f>
        <v>10.803000000000001</v>
      </c>
      <c r="G149" s="286" t="s">
        <v>1303</v>
      </c>
      <c r="H149" s="286">
        <v>5</v>
      </c>
      <c r="I149" s="307" t="s">
        <v>1470</v>
      </c>
      <c r="J149" s="292">
        <f>IFERROR(VLOOKUP(Table5[[#This Row],[HCPCS code 2016 Q3]], ASP2016Q3[], 4, FALSE), "")</f>
        <v>56.154000000000003</v>
      </c>
      <c r="K149" s="303">
        <f>IFERROR(Table5[[#This Row],[Payment Limit 2016Q3]]/Table5[[#This Row],[HCPCS code dosage 2016Q3]], "")</f>
        <v>11.2308</v>
      </c>
      <c r="L149" s="286" t="s">
        <v>1303</v>
      </c>
      <c r="M149" s="286">
        <v>5</v>
      </c>
      <c r="N149" s="307" t="s">
        <v>1470</v>
      </c>
      <c r="O149" s="291">
        <f>IFERROR(VLOOKUP(Table5[[#This Row],[HCPCS code 2017 Q1]], ASP2017Q1[], 4, FALSE), "")</f>
        <v>56.384999999999998</v>
      </c>
      <c r="P149" s="302">
        <f>IFERROR(Table5[[#This Row],[Payment Limit 2017Q1]]/Table5[[#This Row],[HCPCS code dosage 2017Q1]], "")</f>
        <v>11.276999999999999</v>
      </c>
      <c r="Q149" s="275" t="s">
        <v>1303</v>
      </c>
      <c r="R149" s="275">
        <v>5</v>
      </c>
      <c r="S149" s="275" t="s">
        <v>1470</v>
      </c>
      <c r="T149" s="279">
        <f>IFERROR(VLOOKUP(Table5[[#This Row],[HCPCS code 2017 Q3]], ASP2017Q3[], 4, FALSE), "")</f>
        <v>56.56</v>
      </c>
      <c r="U149" s="279">
        <f>IFERROR(Table5[[#This Row],[Payment Limit 2017Q3]]/Table5[[#This Row],[HCPCS code dosage 2017Q3]], "")</f>
        <v>11.312000000000001</v>
      </c>
      <c r="V149" s="374" t="s">
        <v>1303</v>
      </c>
      <c r="W149" s="377">
        <v>5</v>
      </c>
      <c r="X149" s="142" t="s">
        <v>1470</v>
      </c>
      <c r="Y149" s="279">
        <v>57.033000000000001</v>
      </c>
      <c r="Z149" s="370">
        <f>IFERROR(Table5[[#This Row],[Payment Limit 2018 Q1]]/Table5[[#This Row],[HCPCS code dosage 2018 Q1]],"")</f>
        <v>11.406600000000001</v>
      </c>
      <c r="AA149" s="374" t="s">
        <v>1303</v>
      </c>
      <c r="AB149" s="381">
        <v>5</v>
      </c>
      <c r="AC149" s="142" t="s">
        <v>1470</v>
      </c>
      <c r="AD149" s="378">
        <v>57.665999999999997</v>
      </c>
      <c r="AE149" s="370">
        <f>IFERROR(Table5[[#This Row],[Payment Limit 2018 Q3]]/Table5[[#This Row],[HCPCS code dosage 2018 Q3]],"")</f>
        <v>11.533199999999999</v>
      </c>
      <c r="AF149" s="275" t="s">
        <v>1303</v>
      </c>
      <c r="AG149" s="122">
        <v>11.524800000000001</v>
      </c>
      <c r="AH149" s="117" t="s">
        <v>1303</v>
      </c>
      <c r="AI149" s="118" t="s">
        <v>1666</v>
      </c>
      <c r="AJ149" s="118" t="s">
        <v>1470</v>
      </c>
      <c r="AK149" s="115">
        <f>IFERROR(VLOOKUP(Table5[[#This Row],[HCPCS code 2019Q3]], ASP2019Q3[], 4, FALSE), "")</f>
        <v>58.393999999999998</v>
      </c>
      <c r="AL149" s="72">
        <f>IFERROR(Table5[[#This Row],[Payment Limit 2019Q3]]/Table5[[#This Row],[HCPCS code dosage 2019Q3]], "")</f>
        <v>11.678799999999999</v>
      </c>
      <c r="AM149" s="130" t="s">
        <v>1303</v>
      </c>
      <c r="AN149" s="130" t="s">
        <v>1666</v>
      </c>
      <c r="AO149" s="130" t="s">
        <v>1470</v>
      </c>
      <c r="AP149" s="126">
        <f>IFERROR(VLOOKUP(Table5[[#This Row],[HCPCS code 2020Q1]], ASP2020Q1[], 4, FALSE), "")</f>
        <v>59.67</v>
      </c>
      <c r="AQ149" s="77">
        <f>IFERROR(Table5[[#This Row],[Payment Limit 2020Q1]]/Table5[[#This Row],[HCPCS code dosage 2020Q1]], "")</f>
        <v>11.934000000000001</v>
      </c>
      <c r="AR149" s="133" t="s">
        <v>1303</v>
      </c>
      <c r="AS149" s="130" t="s">
        <v>1666</v>
      </c>
      <c r="AT149" s="130" t="s">
        <v>1470</v>
      </c>
      <c r="AU149" s="132">
        <f>IFERROR(VLOOKUP(Table5[[#This Row],[HCPCS code 2020Q3]], ASP2020Q3[], 4, FALSE), "")</f>
        <v>61.063000000000002</v>
      </c>
      <c r="AV149" s="72">
        <f>IFERROR(Table5[[#This Row],[Payment limit 2020Q3]]/Table5[[#This Row],[HCPCS code dosage 2020Q3]],"")</f>
        <v>12.2126</v>
      </c>
      <c r="AW149" s="144" t="s">
        <v>1303</v>
      </c>
      <c r="AX149" s="118" t="s">
        <v>1666</v>
      </c>
      <c r="AY149" s="144" t="s">
        <v>1470</v>
      </c>
      <c r="AZ149" s="144">
        <f>IFERROR(VLOOKUP(Table5[[#This Row],[HCPCS code 2021Q1]], ASP2021Q1[], 4, FALSE), "")</f>
        <v>61.656999999999996</v>
      </c>
      <c r="BA149" s="122">
        <f>IFERROR(Table5[[#This Row],[Payment limit 2021Q1]]/Table5[[#This Row],[HCPCS code dosage 2021Q1]], "")</f>
        <v>12.331399999999999</v>
      </c>
      <c r="BB149" s="147" t="s">
        <v>1303</v>
      </c>
      <c r="BC149" s="118" t="s">
        <v>1666</v>
      </c>
      <c r="BD149" s="144" t="s">
        <v>1470</v>
      </c>
      <c r="BE149" s="144">
        <f>IFERROR(VLOOKUP(Table5[[#This Row],[HCPCS code 2021Q3]], ASP2021Q3[], 4, FALSE), "")</f>
        <v>62.377000000000002</v>
      </c>
      <c r="BF149" s="122">
        <f>IFERROR(Table5[[#This Row],[Payment limit 2021Q3]]/Table5[[#This Row],[HCPCS code dosage 2021Q3]], "")</f>
        <v>12.4754</v>
      </c>
      <c r="BG149" s="147" t="s">
        <v>1303</v>
      </c>
      <c r="BH149" s="118" t="s">
        <v>1666</v>
      </c>
      <c r="BI149" s="144" t="s">
        <v>1470</v>
      </c>
      <c r="BJ149" s="144">
        <f>IFERROR(VLOOKUP(Table5[[#This Row],[HCPCS code 2022Q1]], ASP2022Q1[], 4, FALSE), "")</f>
        <v>63.557000000000002</v>
      </c>
      <c r="BK149" s="122">
        <f>IFERROR(Table5[[#This Row],[Payment limit 2022Q1]]/Table5[[#This Row],[HCPCS code dosage 2022Q1]], "")</f>
        <v>12.711400000000001</v>
      </c>
      <c r="BL149" s="144" t="s">
        <v>1303</v>
      </c>
      <c r="BM149" s="184">
        <v>5</v>
      </c>
      <c r="BN149" s="144" t="s">
        <v>1470</v>
      </c>
      <c r="BO149" s="144">
        <f>IFERROR(VLOOKUP(Table5[[#This Row],[HCPCS Code 2022Q3]], ASP2022Q3[], 4, FALSE), "")</f>
        <v>65.674000000000007</v>
      </c>
      <c r="BP149" s="122">
        <f>IFERROR(Table5[[#This Row],[Payment limit 2022Q3]]/Table5[[#This Row],[HCPCS code dosage 2022Q3]], "")</f>
        <v>13.134800000000002</v>
      </c>
      <c r="BQ149" s="144" t="s">
        <v>1303</v>
      </c>
      <c r="BR149" s="118">
        <v>5</v>
      </c>
      <c r="BS149" s="144" t="s">
        <v>1470</v>
      </c>
      <c r="BT149" s="144">
        <v>66.863</v>
      </c>
      <c r="BU149" s="144">
        <f>IFERROR(Table5[[#This Row],[Payment limit 2023Q1]]/Table5[[#This Row],[HCPCS code dosage 2023Q1]], "")</f>
        <v>13.3726</v>
      </c>
      <c r="BV149" s="79"/>
    </row>
    <row r="150" spans="1:74" x14ac:dyDescent="0.3">
      <c r="A150" s="498" t="s">
        <v>90</v>
      </c>
      <c r="B150" s="499" t="s">
        <v>2415</v>
      </c>
      <c r="C150" s="499">
        <v>100</v>
      </c>
      <c r="D150" s="502" t="s">
        <v>1470</v>
      </c>
      <c r="E150" s="503">
        <f>IFERROR(VLOOKUP(Table5[[#This Row],[HCPCS code 2016 Q1]], ASP2016Q1[], 4, FALSE), "")</f>
        <v>769.01400000000001</v>
      </c>
      <c r="F150" s="505">
        <f>IFERROR(Table5[[#This Row],[Payment Limit 2016Q1]]/Table5[[#This Row],[HCPCS code dosage 2016Q1]], "")</f>
        <v>7.6901400000000004</v>
      </c>
      <c r="G150" s="499" t="s">
        <v>2415</v>
      </c>
      <c r="H150" s="499">
        <v>100</v>
      </c>
      <c r="I150" s="502" t="s">
        <v>1470</v>
      </c>
      <c r="J150" s="503">
        <f>IFERROR(VLOOKUP(Table5[[#This Row],[HCPCS code 2016 Q3]], ASP2016Q3[], 4, FALSE), "")</f>
        <v>791.40099999999995</v>
      </c>
      <c r="K150" s="505">
        <f>IFERROR(Table5[[#This Row],[Payment Limit 2016Q3]]/Table5[[#This Row],[HCPCS code dosage 2016Q3]], "")</f>
        <v>7.9140099999999993</v>
      </c>
      <c r="L150" s="499" t="s">
        <v>2415</v>
      </c>
      <c r="M150" s="499">
        <v>100</v>
      </c>
      <c r="N150" s="502" t="s">
        <v>1470</v>
      </c>
      <c r="O150" s="291">
        <f>IFERROR(VLOOKUP(Table5[[#This Row],[HCPCS code 2017 Q1]], ASP2017Q1[], 4, FALSE), "")</f>
        <v>818.49699999999996</v>
      </c>
      <c r="P150" s="302">
        <f>IFERROR(Table5[[#This Row],[Payment Limit 2017Q1]]/Table5[[#This Row],[HCPCS code dosage 2017Q1]], "")</f>
        <v>8.1849699999999999</v>
      </c>
      <c r="Q150" s="507" t="s">
        <v>2415</v>
      </c>
      <c r="R150" s="277">
        <v>100</v>
      </c>
      <c r="S150" s="275" t="s">
        <v>1470</v>
      </c>
      <c r="T150" s="414">
        <f>IFERROR(VLOOKUP(Table5[[#This Row],[HCPCS code 2017 Q3]], ASP2017Q3[], 4, FALSE), "")</f>
        <v>842.39499999999998</v>
      </c>
      <c r="U150" s="414">
        <f>IFERROR(Table5[[#This Row],[Payment Limit 2017Q3]]/Table5[[#This Row],[HCPCS code dosage 2017Q3]], "")</f>
        <v>8.4239499999999996</v>
      </c>
      <c r="V150" s="375" t="s">
        <v>2415</v>
      </c>
      <c r="W150" s="377">
        <v>100</v>
      </c>
      <c r="X150" s="142" t="s">
        <v>1470</v>
      </c>
      <c r="Y150" s="414">
        <v>877.83299999999997</v>
      </c>
      <c r="Z150" s="415">
        <f>IFERROR(Table5[[#This Row],[Payment Limit 2018 Q1]]/Table5[[#This Row],[HCPCS code dosage 2018 Q1]],"")</f>
        <v>8.7783300000000004</v>
      </c>
      <c r="AA150" s="375" t="s">
        <v>2415</v>
      </c>
      <c r="AB150" s="382">
        <v>100</v>
      </c>
      <c r="AC150" s="278" t="s">
        <v>1470</v>
      </c>
      <c r="AD150" s="379">
        <v>915.29600000000005</v>
      </c>
      <c r="AE150" s="415">
        <f>IFERROR(Table5[[#This Row],[Payment Limit 2018 Q3]]/Table5[[#This Row],[HCPCS code dosage 2018 Q3]],"")</f>
        <v>9.1529600000000002</v>
      </c>
      <c r="AF150" s="277" t="s">
        <v>1308</v>
      </c>
      <c r="AG150" s="123">
        <v>9.5399999999999991</v>
      </c>
      <c r="AH150" s="119" t="s">
        <v>1308</v>
      </c>
      <c r="AI150" s="120" t="s">
        <v>1664</v>
      </c>
      <c r="AJ150" s="120" t="s">
        <v>1470</v>
      </c>
      <c r="AK150" s="116">
        <f>IFERROR(VLOOKUP(Table5[[#This Row],[HCPCS code 2019Q3]], ASP2019Q3[], 4, FALSE), "")</f>
        <v>94.972999999999999</v>
      </c>
      <c r="AL150" s="75">
        <f>IFERROR(Table5[[#This Row],[Payment Limit 2019Q3]]/Table5[[#This Row],[HCPCS code dosage 2019Q3]], "")</f>
        <v>9.4972999999999992</v>
      </c>
      <c r="AM150" s="130" t="s">
        <v>1606</v>
      </c>
      <c r="AN150" s="130" t="s">
        <v>1664</v>
      </c>
      <c r="AO150" s="130" t="s">
        <v>1470</v>
      </c>
      <c r="AP150" s="127">
        <f>IFERROR(VLOOKUP(Table5[[#This Row],[HCPCS code 2020Q1]], ASP2020Q1[], 4, FALSE), "")</f>
        <v>87.091650000000001</v>
      </c>
      <c r="AQ150" s="77">
        <f>IFERROR(Table5[[#This Row],[Payment Limit 2020Q1]]/Table5[[#This Row],[HCPCS code dosage 2020Q1]], "")</f>
        <v>8.7091650000000005</v>
      </c>
      <c r="AR150" s="133" t="s">
        <v>1606</v>
      </c>
      <c r="AS150" s="130" t="s">
        <v>1664</v>
      </c>
      <c r="AT150" s="130" t="s">
        <v>1470</v>
      </c>
      <c r="AU150" s="132">
        <f>IFERROR(VLOOKUP(Table5[[#This Row],[HCPCS code 2020Q3]], ASP2020Q3[], 4, FALSE), "")</f>
        <v>69.192999999999998</v>
      </c>
      <c r="AV150" s="72">
        <f>IFERROR(Table5[[#This Row],[Payment limit 2020Q3]]/Table5[[#This Row],[HCPCS code dosage 2020Q3]],"")</f>
        <v>6.9192999999999998</v>
      </c>
      <c r="AW150" s="146" t="s">
        <v>1606</v>
      </c>
      <c r="AX150" s="120" t="s">
        <v>1664</v>
      </c>
      <c r="AY150" s="146" t="s">
        <v>1470</v>
      </c>
      <c r="AZ150" s="146">
        <f>IFERROR(VLOOKUP(Table5[[#This Row],[HCPCS code 2021Q1]], ASP2021Q1[], 4, FALSE), "")</f>
        <v>68.498000000000005</v>
      </c>
      <c r="BA150" s="123">
        <f>IFERROR(Table5[[#This Row],[Payment limit 2021Q1]]/Table5[[#This Row],[HCPCS code dosage 2021Q1]], "")</f>
        <v>6.8498000000000001</v>
      </c>
      <c r="BB150" s="148" t="s">
        <v>1606</v>
      </c>
      <c r="BC150" s="120" t="s">
        <v>1664</v>
      </c>
      <c r="BD150" s="146" t="s">
        <v>1470</v>
      </c>
      <c r="BE150" s="146">
        <f>IFERROR(VLOOKUP(Table5[[#This Row],[HCPCS code 2021Q3]], ASP2021Q3[], 4, FALSE), "")</f>
        <v>60.838999999999999</v>
      </c>
      <c r="BF150" s="123">
        <f>IFERROR(Table5[[#This Row],[Payment limit 2021Q3]]/Table5[[#This Row],[HCPCS code dosage 2021Q3]], "")</f>
        <v>6.0838999999999999</v>
      </c>
      <c r="BG150" s="148" t="s">
        <v>1606</v>
      </c>
      <c r="BH150" s="120" t="s">
        <v>1664</v>
      </c>
      <c r="BI150" s="146" t="s">
        <v>1470</v>
      </c>
      <c r="BJ150" s="146">
        <f>IFERROR(VLOOKUP(Table5[[#This Row],[HCPCS code 2022Q1]], ASP2022Q1[], 4, FALSE), "")</f>
        <v>57.347000000000001</v>
      </c>
      <c r="BK150" s="123">
        <f>IFERROR(Table5[[#This Row],[Payment limit 2022Q1]]/Table5[[#This Row],[HCPCS code dosage 2022Q1]], "")</f>
        <v>5.7347000000000001</v>
      </c>
      <c r="BL150" s="146" t="s">
        <v>1606</v>
      </c>
      <c r="BM150" s="185">
        <v>10</v>
      </c>
      <c r="BN150" s="146" t="s">
        <v>1470</v>
      </c>
      <c r="BO150" s="146">
        <f>IFERROR(VLOOKUP(Table5[[#This Row],[HCPCS Code 2022Q3]], ASP2022Q3[], 4, FALSE), "")</f>
        <v>48.34</v>
      </c>
      <c r="BP150" s="123">
        <f>IFERROR(Table5[[#This Row],[Payment limit 2022Q3]]/Table5[[#This Row],[HCPCS code dosage 2022Q3]], "")</f>
        <v>4.8340000000000005</v>
      </c>
      <c r="BQ150" s="146" t="s">
        <v>1606</v>
      </c>
      <c r="BR150" s="120">
        <v>10</v>
      </c>
      <c r="BS150" s="146" t="s">
        <v>1470</v>
      </c>
      <c r="BT150" s="146">
        <v>48.829000000000001</v>
      </c>
      <c r="BU150" s="146">
        <f>IFERROR(Table5[[#This Row],[Payment limit 2023Q1]]/Table5[[#This Row],[HCPCS code dosage 2023Q1]], "")</f>
        <v>4.8829000000000002</v>
      </c>
      <c r="BV150" s="81" t="s">
        <v>1809</v>
      </c>
    </row>
    <row r="151" spans="1:74" x14ac:dyDescent="0.3">
      <c r="A151" s="70" t="s">
        <v>1698</v>
      </c>
      <c r="B151" s="288"/>
      <c r="C151" s="288"/>
      <c r="D151" s="277"/>
      <c r="E151" s="281" t="str">
        <f>IFERROR(VLOOKUP(Table5[[#This Row],[HCPCS code 2016 Q1]], ASP2016Q1[], 4, FALSE), "")</f>
        <v/>
      </c>
      <c r="F151" s="306" t="str">
        <f>IFERROR(Table5[[#This Row],[Payment Limit 2016Q1]]/Table5[[#This Row],[HCPCS code dosage 2016Q1]], "")</f>
        <v/>
      </c>
      <c r="G151" s="288"/>
      <c r="H151" s="288"/>
      <c r="I151" s="277"/>
      <c r="J151" s="281" t="str">
        <f>IFERROR(VLOOKUP(Table5[[#This Row],[HCPCS code 2016 Q3]], ASP2016Q3[], 4, FALSE), "")</f>
        <v/>
      </c>
      <c r="K151" s="306" t="str">
        <f>IFERROR(Table5[[#This Row],[Payment Limit 2016Q3]]/Table5[[#This Row],[HCPCS code dosage 2016Q3]], "")</f>
        <v/>
      </c>
      <c r="L151" s="288" t="s">
        <v>1137</v>
      </c>
      <c r="M151" s="288">
        <v>1</v>
      </c>
      <c r="N151" s="277" t="s">
        <v>1470</v>
      </c>
      <c r="O151" s="291">
        <v>2.2250000000000001</v>
      </c>
      <c r="P151" s="302">
        <f>IFERROR(Table5[[#This Row],[Payment Limit 2017Q1]]/Table5[[#This Row],[HCPCS code dosage 2017Q1]], "")</f>
        <v>2.2250000000000001</v>
      </c>
      <c r="Q151" s="277" t="s">
        <v>1137</v>
      </c>
      <c r="R151" s="277">
        <v>1</v>
      </c>
      <c r="S151" s="277" t="s">
        <v>1470</v>
      </c>
      <c r="T151" s="281">
        <v>2.2250000000000001</v>
      </c>
      <c r="U151" s="281">
        <f>IFERROR(Table5[[#This Row],[Payment Limit 2017Q3]]/Table5[[#This Row],[HCPCS code dosage 2017Q3]], "")</f>
        <v>2.2250000000000001</v>
      </c>
      <c r="V151" s="375" t="s">
        <v>1137</v>
      </c>
      <c r="W151" s="377">
        <v>1</v>
      </c>
      <c r="X151" s="142" t="s">
        <v>1470</v>
      </c>
      <c r="Y151" s="281" t="s">
        <v>2365</v>
      </c>
      <c r="Z151" s="306" t="str">
        <f>IFERROR(Table5[[#This Row],[Payment Limit 2018 Q1]]/Table5[[#This Row],[HCPCS code dosage 2018 Q1]],"")</f>
        <v/>
      </c>
      <c r="AA151" s="375" t="s">
        <v>1137</v>
      </c>
      <c r="AB151" s="382">
        <v>1</v>
      </c>
      <c r="AC151" s="278" t="s">
        <v>1470</v>
      </c>
      <c r="AD151" s="379">
        <v>2.2250000000000001</v>
      </c>
      <c r="AE151" s="306">
        <f>IFERROR(Table5[[#This Row],[Payment Limit 2018 Q3]]/Table5[[#This Row],[HCPCS code dosage 2018 Q3]],"")</f>
        <v>2.2250000000000001</v>
      </c>
      <c r="AF151" s="288" t="s">
        <v>1137</v>
      </c>
      <c r="AG151" s="159">
        <v>1.3069999999999999</v>
      </c>
      <c r="AH151" s="119" t="s">
        <v>1137</v>
      </c>
      <c r="AI151" s="120">
        <v>1</v>
      </c>
      <c r="AJ151" s="120" t="s">
        <v>1470</v>
      </c>
      <c r="AK151" s="116">
        <f>IFERROR(VLOOKUP(Table5[[#This Row],[HCPCS code 2019Q3]], ASP2019Q3[], 4, FALSE), "")</f>
        <v>2.218</v>
      </c>
      <c r="AL151" s="161">
        <f>IFERROR(Table5[[#This Row],[Payment Limit 2019Q3]]/Table5[[#This Row],[HCPCS code dosage 2019Q3]], "")</f>
        <v>2.218</v>
      </c>
      <c r="AM151" s="130" t="s">
        <v>1137</v>
      </c>
      <c r="AN151" s="130">
        <v>1</v>
      </c>
      <c r="AO151" s="130" t="s">
        <v>1470</v>
      </c>
      <c r="AP151" s="126">
        <f>IFERROR(VLOOKUP(Table5[[#This Row],[HCPCS code 2020Q1]], ASP2020Q1[], 4, FALSE), "")</f>
        <v>2.08</v>
      </c>
      <c r="AQ151" s="141">
        <f>IFERROR(Table5[[#This Row],[Payment Limit 2020Q1]]/Table5[[#This Row],[HCPCS code dosage 2020Q1]], "")</f>
        <v>2.08</v>
      </c>
      <c r="AR151" s="133" t="s">
        <v>1137</v>
      </c>
      <c r="AS151" s="130">
        <v>1</v>
      </c>
      <c r="AT151" s="130" t="s">
        <v>1470</v>
      </c>
      <c r="AU151" s="160">
        <f>IFERROR(VLOOKUP(Table5[[#This Row],[HCPCS code 2020Q3]], ASP2020Q3[], 4, FALSE), "")</f>
        <v>2.7389999999999999</v>
      </c>
      <c r="AV151" s="161">
        <f>IFERROR(Table5[[#This Row],[Payment limit 2020Q3]]/Table5[[#This Row],[HCPCS code dosage 2020Q3]],"")</f>
        <v>2.7389999999999999</v>
      </c>
      <c r="AW151" s="146" t="s">
        <v>1137</v>
      </c>
      <c r="AX151" s="120">
        <v>1</v>
      </c>
      <c r="AY151" s="146" t="s">
        <v>1470</v>
      </c>
      <c r="AZ151" s="146">
        <f>IFERROR(VLOOKUP(Table5[[#This Row],[HCPCS code 2021Q1]], ASP2021Q1[], 4, FALSE), "")</f>
        <v>2.3410000000000002</v>
      </c>
      <c r="BA151" s="146">
        <f>IFERROR(Table5[[#This Row],[Payment limit 2021Q1]]/Table5[[#This Row],[HCPCS code dosage 2021Q1]], "")</f>
        <v>2.3410000000000002</v>
      </c>
      <c r="BB151" s="148" t="s">
        <v>1137</v>
      </c>
      <c r="BC151" s="120">
        <v>1</v>
      </c>
      <c r="BD151" s="146" t="s">
        <v>1470</v>
      </c>
      <c r="BE151" s="146">
        <f>IFERROR(VLOOKUP(Table5[[#This Row],[HCPCS code 2021Q3]], ASP2021Q3[], 4, FALSE), "")</f>
        <v>1.748</v>
      </c>
      <c r="BF151" s="146">
        <f>IFERROR(Table5[[#This Row],[Payment limit 2021Q3]]/Table5[[#This Row],[HCPCS code dosage 2021Q3]], "")</f>
        <v>1.748</v>
      </c>
      <c r="BG151" s="148" t="s">
        <v>1137</v>
      </c>
      <c r="BH151" s="120">
        <v>1</v>
      </c>
      <c r="BI151" s="146" t="s">
        <v>1470</v>
      </c>
      <c r="BJ151" s="146">
        <f>IFERROR(VLOOKUP(Table5[[#This Row],[HCPCS code 2022Q1]], ASP2022Q1[], 4, FALSE), "")</f>
        <v>1.766</v>
      </c>
      <c r="BK151" s="146">
        <f>IFERROR(Table5[[#This Row],[Payment limit 2022Q1]]/Table5[[#This Row],[HCPCS code dosage 2022Q1]], "")</f>
        <v>1.766</v>
      </c>
      <c r="BL151" s="146" t="s">
        <v>1137</v>
      </c>
      <c r="BM151" s="185">
        <v>1</v>
      </c>
      <c r="BN151" s="146" t="s">
        <v>1470</v>
      </c>
      <c r="BO151" s="146">
        <f>IFERROR(VLOOKUP(Table5[[#This Row],[HCPCS Code 2022Q3]], ASP2022Q3[], 4, FALSE), "")</f>
        <v>1.7569999999999999</v>
      </c>
      <c r="BP151" s="123">
        <f>IFERROR(Table5[[#This Row],[Payment limit 2022Q3]]/Table5[[#This Row],[HCPCS code dosage 2022Q3]], "")</f>
        <v>1.7569999999999999</v>
      </c>
      <c r="BQ151" s="146" t="s">
        <v>1137</v>
      </c>
      <c r="BR151" s="120">
        <v>1</v>
      </c>
      <c r="BS151" s="146" t="s">
        <v>1470</v>
      </c>
      <c r="BT151" s="146">
        <v>1.8180000000000001</v>
      </c>
      <c r="BU151" s="146">
        <f>IFERROR(Table5[[#This Row],[Payment limit 2023Q1]]/Table5[[#This Row],[HCPCS code dosage 2023Q1]], "")</f>
        <v>1.8180000000000001</v>
      </c>
      <c r="BV151" s="81" t="s">
        <v>2640</v>
      </c>
    </row>
    <row r="152" spans="1:74" x14ac:dyDescent="0.3">
      <c r="A152" s="70" t="s">
        <v>1917</v>
      </c>
      <c r="B152" s="288"/>
      <c r="C152" s="288"/>
      <c r="D152" s="277"/>
      <c r="E152" s="281" t="str">
        <f>IFERROR(VLOOKUP(Table5[[#This Row],[HCPCS code 2016 Q1]], ASP2016Q1[], 4, FALSE), "")</f>
        <v/>
      </c>
      <c r="F152" s="306" t="str">
        <f>IFERROR(Table5[[#This Row],[Payment Limit 2016Q1]]/Table5[[#This Row],[HCPCS code dosage 2016Q1]], "")</f>
        <v/>
      </c>
      <c r="G152" s="288"/>
      <c r="H152" s="288"/>
      <c r="I152" s="277"/>
      <c r="J152" s="281" t="str">
        <f>IFERROR(VLOOKUP(Table5[[#This Row],[HCPCS code 2016 Q3]], ASP2016Q3[], 4, FALSE), "")</f>
        <v/>
      </c>
      <c r="K152" s="306" t="str">
        <f>IFERROR(Table5[[#This Row],[Payment Limit 2016Q3]]/Table5[[#This Row],[HCPCS code dosage 2016Q3]], "")</f>
        <v/>
      </c>
      <c r="L152" s="288"/>
      <c r="M152" s="288"/>
      <c r="N152" s="277"/>
      <c r="O152" s="291" t="str">
        <f>IFERROR(VLOOKUP(Table5[[#This Row],[HCPCS code 2017 Q1]], ASP2017Q1[], 4, FALSE), "")</f>
        <v/>
      </c>
      <c r="P152" s="302" t="str">
        <f>IFERROR(Table5[[#This Row],[Payment Limit 2017Q1]]/Table5[[#This Row],[HCPCS code dosage 2017Q1]], "")</f>
        <v/>
      </c>
      <c r="Q152" s="278" t="s">
        <v>1918</v>
      </c>
      <c r="R152" s="278" t="s">
        <v>2434</v>
      </c>
      <c r="S152" s="278"/>
      <c r="T152" s="414" t="str">
        <f>IFERROR(VLOOKUP(Table5[[#This Row],[HCPCS code 2017 Q3]], ASP2017Q3[], 4, FALSE), "")</f>
        <v/>
      </c>
      <c r="U152" s="414" t="str">
        <f>IFERROR(Table5[[#This Row],[Payment Limit 2017Q3]]/Table5[[#This Row],[HCPCS code dosage 2017Q3]], "")</f>
        <v/>
      </c>
      <c r="V152" s="375"/>
      <c r="W152" s="377"/>
      <c r="X152" s="142"/>
      <c r="Y152" s="414"/>
      <c r="Z152" s="415"/>
      <c r="AA152" s="375"/>
      <c r="AB152" s="382"/>
      <c r="AC152" s="278"/>
      <c r="AD152" s="379"/>
      <c r="AE152" s="415"/>
      <c r="AF152" s="278"/>
      <c r="AG152" s="517"/>
      <c r="AH152" s="119"/>
      <c r="AI152" s="120"/>
      <c r="AJ152" s="120"/>
      <c r="AK152" s="518" t="str">
        <f>IFERROR(VLOOKUP(Table5[[#This Row],[HCPCS code 2019Q3]], ASP2019Q3[], 4, FALSE), "")</f>
        <v/>
      </c>
      <c r="AL152" s="161" t="str">
        <f>IFERROR(Table5[[#This Row],[Payment Limit 2019Q3]]/Table5[[#This Row],[HCPCS code dosage 2019Q3]], "")</f>
        <v/>
      </c>
      <c r="AM152" s="130"/>
      <c r="AN152" s="130"/>
      <c r="AO152" s="130"/>
      <c r="AP152" s="126" t="str">
        <f>IFERROR(VLOOKUP(Table5[[#This Row],[HCPCS code 2020Q1]], ASP2020Q1[], 4, FALSE), "")</f>
        <v/>
      </c>
      <c r="AQ152" s="141" t="str">
        <f>IFERROR(Table5[[#This Row],[Payment Limit 2020Q1]]/Table5[[#This Row],[HCPCS code dosage 2020Q1]], "")</f>
        <v/>
      </c>
      <c r="AR152" s="133" t="s">
        <v>1918</v>
      </c>
      <c r="AS152" s="130">
        <v>2.5</v>
      </c>
      <c r="AT152" s="130" t="s">
        <v>1470</v>
      </c>
      <c r="AU152" s="160" t="str">
        <f>IFERROR(VLOOKUP(Table5[[#This Row],[HCPCS code 2020Q3]], ASP2020Q3[], 4, FALSE), "")</f>
        <v/>
      </c>
      <c r="AV152" s="161" t="str">
        <f>IFERROR(Table5[[#This Row],[Payment limit 2020Q3]]/Table5[[#This Row],[HCPCS code dosage 2020Q3]],"")</f>
        <v/>
      </c>
      <c r="AW152" s="146" t="s">
        <v>1918</v>
      </c>
      <c r="AX152" s="120">
        <v>2.5</v>
      </c>
      <c r="AY152" s="146" t="s">
        <v>1470</v>
      </c>
      <c r="AZ152" s="146">
        <f>IFERROR(VLOOKUP(Table5[[#This Row],[HCPCS code 2021Q1]], ASP2021Q1[], 4, FALSE), "")</f>
        <v>29.504999999999999</v>
      </c>
      <c r="BA152" s="146">
        <f>IFERROR(Table5[[#This Row],[Payment limit 2021Q1]]/Table5[[#This Row],[HCPCS code dosage 2021Q1]], "")</f>
        <v>11.802</v>
      </c>
      <c r="BB152" s="148" t="s">
        <v>1918</v>
      </c>
      <c r="BC152" s="120">
        <v>2.5</v>
      </c>
      <c r="BD152" s="146" t="s">
        <v>1470</v>
      </c>
      <c r="BE152" s="146">
        <f>IFERROR(VLOOKUP(Table5[[#This Row],[HCPCS code 2021Q3]], ASP2021Q3[], 4, FALSE), "")</f>
        <v>30.364999999999998</v>
      </c>
      <c r="BF152" s="146">
        <f>IFERROR(Table5[[#This Row],[Payment limit 2021Q3]]/Table5[[#This Row],[HCPCS code dosage 2021Q3]], "")</f>
        <v>12.145999999999999</v>
      </c>
      <c r="BG152" s="148" t="s">
        <v>1918</v>
      </c>
      <c r="BH152" s="120">
        <v>2.5</v>
      </c>
      <c r="BI152" s="146" t="s">
        <v>1470</v>
      </c>
      <c r="BJ152" s="146">
        <f>IFERROR(VLOOKUP(Table5[[#This Row],[HCPCS code 2022Q1]], ASP2022Q1[], 4, FALSE), "")</f>
        <v>31.257999999999999</v>
      </c>
      <c r="BK152" s="146">
        <f>IFERROR(Table5[[#This Row],[Payment limit 2022Q1]]/Table5[[#This Row],[HCPCS code dosage 2022Q1]], "")</f>
        <v>12.5032</v>
      </c>
      <c r="BL152" s="146" t="s">
        <v>1918</v>
      </c>
      <c r="BM152" s="185">
        <v>2.5</v>
      </c>
      <c r="BN152" s="146" t="s">
        <v>1470</v>
      </c>
      <c r="BO152" s="146">
        <f>IFERROR(VLOOKUP(Table5[[#This Row],[HCPCS Code 2022Q3]], ASP2022Q3[], 4, FALSE), "")</f>
        <v>32.033000000000001</v>
      </c>
      <c r="BP152" s="123">
        <f>IFERROR(Table5[[#This Row],[Payment limit 2022Q3]]/Table5[[#This Row],[HCPCS code dosage 2022Q3]], "")</f>
        <v>12.8132</v>
      </c>
      <c r="BQ152" s="146" t="s">
        <v>1918</v>
      </c>
      <c r="BR152" s="120">
        <v>2.5</v>
      </c>
      <c r="BS152" s="146" t="s">
        <v>1470</v>
      </c>
      <c r="BT152" s="146">
        <v>32.582000000000001</v>
      </c>
      <c r="BU152" s="146">
        <f>IFERROR(Table5[[#This Row],[Payment limit 2023Q1]]/Table5[[#This Row],[HCPCS code dosage 2023Q1]], "")</f>
        <v>13.0328</v>
      </c>
      <c r="BV152" s="192"/>
    </row>
    <row r="153" spans="1:74" x14ac:dyDescent="0.3">
      <c r="A153" s="498" t="s">
        <v>136</v>
      </c>
      <c r="B153" s="499" t="s">
        <v>724</v>
      </c>
      <c r="C153" s="499">
        <v>1</v>
      </c>
      <c r="D153" s="502" t="s">
        <v>1470</v>
      </c>
      <c r="E153" s="503">
        <f>IFERROR(VLOOKUP(Table5[[#This Row],[HCPCS code 2016 Q1]], ASP2016Q1[], 4, FALSE), "")</f>
        <v>158.709</v>
      </c>
      <c r="F153" s="505">
        <f>IFERROR(Table5[[#This Row],[Payment Limit 2016Q1]]/Table5[[#This Row],[HCPCS code dosage 2016Q1]], "")</f>
        <v>158.709</v>
      </c>
      <c r="G153" s="499" t="s">
        <v>724</v>
      </c>
      <c r="H153" s="499">
        <v>1</v>
      </c>
      <c r="I153" s="502" t="s">
        <v>1470</v>
      </c>
      <c r="J153" s="503">
        <f>IFERROR(VLOOKUP(Table5[[#This Row],[HCPCS code 2016 Q3]], ASP2016Q3[], 4, FALSE), "")</f>
        <v>166.816</v>
      </c>
      <c r="K153" s="505">
        <f>IFERROR(Table5[[#This Row],[Payment Limit 2016Q3]]/Table5[[#This Row],[HCPCS code dosage 2016Q3]], "")</f>
        <v>166.816</v>
      </c>
      <c r="L153" s="499" t="s">
        <v>724</v>
      </c>
      <c r="M153" s="499">
        <v>1</v>
      </c>
      <c r="N153" s="502" t="s">
        <v>1470</v>
      </c>
      <c r="O153" s="291">
        <f>IFERROR(VLOOKUP(Table5[[#This Row],[HCPCS code 2017 Q1]], ASP2017Q1[], 4, FALSE), "")</f>
        <v>174.52199999999999</v>
      </c>
      <c r="P153" s="302">
        <f>IFERROR(Table5[[#This Row],[Payment Limit 2017Q1]]/Table5[[#This Row],[HCPCS code dosage 2017Q1]], "")</f>
        <v>174.52199999999999</v>
      </c>
      <c r="Q153" s="277" t="s">
        <v>724</v>
      </c>
      <c r="R153" s="277">
        <v>1</v>
      </c>
      <c r="S153" s="277" t="s">
        <v>1470</v>
      </c>
      <c r="T153" s="414">
        <f>IFERROR(VLOOKUP(Table5[[#This Row],[HCPCS code 2017 Q3]], ASP2017Q3[], 4, FALSE), "")</f>
        <v>182.58799999999999</v>
      </c>
      <c r="U153" s="414">
        <f>IFERROR(Table5[[#This Row],[Payment Limit 2017Q3]]/Table5[[#This Row],[HCPCS code dosage 2017Q3]], "")</f>
        <v>182.58799999999999</v>
      </c>
      <c r="V153" s="375" t="s">
        <v>724</v>
      </c>
      <c r="W153" s="377">
        <v>1</v>
      </c>
      <c r="X153" s="142" t="s">
        <v>1470</v>
      </c>
      <c r="Y153" s="414">
        <v>190.678</v>
      </c>
      <c r="Z153" s="415">
        <f>IFERROR(Table5[[#This Row],[Payment Limit 2018 Q1]]/Table5[[#This Row],[HCPCS code dosage 2018 Q1]],"")</f>
        <v>190.678</v>
      </c>
      <c r="AA153" s="375" t="s">
        <v>724</v>
      </c>
      <c r="AB153" s="382">
        <v>1</v>
      </c>
      <c r="AC153" s="278" t="s">
        <v>1470</v>
      </c>
      <c r="AD153" s="379">
        <v>199.03100000000001</v>
      </c>
      <c r="AE153" s="415">
        <f>IFERROR(Table5[[#This Row],[Payment Limit 2018 Q3]]/Table5[[#This Row],[HCPCS code dosage 2018 Q3]],"")</f>
        <v>199.03100000000001</v>
      </c>
      <c r="AF153" s="277" t="s">
        <v>724</v>
      </c>
      <c r="AG153" s="159">
        <v>197.88300000000001</v>
      </c>
      <c r="AH153" s="119" t="s">
        <v>724</v>
      </c>
      <c r="AI153" s="120" t="s">
        <v>1665</v>
      </c>
      <c r="AJ153" s="120" t="s">
        <v>1470</v>
      </c>
      <c r="AK153" s="116">
        <f>IFERROR(VLOOKUP(Table5[[#This Row],[HCPCS code 2019Q3]], ASP2019Q3[], 4, FALSE), "")</f>
        <v>204.68799999999999</v>
      </c>
      <c r="AL153" s="161">
        <f>IFERROR(Table5[[#This Row],[Payment Limit 2019Q3]]/Table5[[#This Row],[HCPCS code dosage 2019Q3]], "")</f>
        <v>204.68799999999999</v>
      </c>
      <c r="AM153" s="130" t="s">
        <v>724</v>
      </c>
      <c r="AN153" s="130" t="s">
        <v>1665</v>
      </c>
      <c r="AO153" s="130" t="s">
        <v>1470</v>
      </c>
      <c r="AP153" s="126">
        <f>IFERROR(VLOOKUP(Table5[[#This Row],[HCPCS code 2020Q1]], ASP2020Q1[], 4, FALSE), "")</f>
        <v>206.08500000000001</v>
      </c>
      <c r="AQ153" s="141">
        <f>IFERROR(Table5[[#This Row],[Payment Limit 2020Q1]]/Table5[[#This Row],[HCPCS code dosage 2020Q1]], "")</f>
        <v>206.08500000000001</v>
      </c>
      <c r="AR153" s="133" t="s">
        <v>724</v>
      </c>
      <c r="AS153" s="130" t="s">
        <v>1665</v>
      </c>
      <c r="AT153" s="130" t="s">
        <v>1470</v>
      </c>
      <c r="AU153" s="160">
        <f>IFERROR(VLOOKUP(Table5[[#This Row],[HCPCS code 2020Q3]], ASP2020Q3[], 4, FALSE), "")</f>
        <v>207.21799999999999</v>
      </c>
      <c r="AV153" s="161">
        <f>IFERROR(Table5[[#This Row],[Payment limit 2020Q3]]/Table5[[#This Row],[HCPCS code dosage 2020Q3]],"")</f>
        <v>207.21799999999999</v>
      </c>
      <c r="AW153" s="146" t="s">
        <v>724</v>
      </c>
      <c r="AX153" s="120" t="s">
        <v>1665</v>
      </c>
      <c r="AY153" s="146" t="s">
        <v>1470</v>
      </c>
      <c r="AZ153" s="146">
        <f>IFERROR(VLOOKUP(Table5[[#This Row],[HCPCS code 2021Q1]], ASP2021Q1[], 4, FALSE), "")</f>
        <v>205.65799999999999</v>
      </c>
      <c r="BA153" s="146">
        <f>IFERROR(Table5[[#This Row],[Payment limit 2021Q1]]/Table5[[#This Row],[HCPCS code dosage 2021Q1]], "")</f>
        <v>205.65799999999999</v>
      </c>
      <c r="BB153" s="148" t="s">
        <v>724</v>
      </c>
      <c r="BC153" s="120" t="s">
        <v>1665</v>
      </c>
      <c r="BD153" s="146" t="s">
        <v>1470</v>
      </c>
      <c r="BE153" s="146">
        <f>IFERROR(VLOOKUP(Table5[[#This Row],[HCPCS code 2021Q3]], ASP2021Q3[], 4, FALSE), "")</f>
        <v>205.113</v>
      </c>
      <c r="BF153" s="146">
        <f>IFERROR(Table5[[#This Row],[Payment limit 2021Q3]]/Table5[[#This Row],[HCPCS code dosage 2021Q3]], "")</f>
        <v>205.113</v>
      </c>
      <c r="BG153" s="148" t="s">
        <v>724</v>
      </c>
      <c r="BH153" s="120" t="s">
        <v>1665</v>
      </c>
      <c r="BI153" s="146" t="s">
        <v>1470</v>
      </c>
      <c r="BJ153" s="146">
        <f>IFERROR(VLOOKUP(Table5[[#This Row],[HCPCS code 2022Q1]], ASP2022Q1[], 4, FALSE), "")</f>
        <v>206.56200000000001</v>
      </c>
      <c r="BK153" s="146">
        <f>IFERROR(Table5[[#This Row],[Payment limit 2022Q1]]/Table5[[#This Row],[HCPCS code dosage 2022Q1]], "")</f>
        <v>206.56200000000001</v>
      </c>
      <c r="BL153" s="146" t="s">
        <v>724</v>
      </c>
      <c r="BM153" s="185">
        <v>1</v>
      </c>
      <c r="BN153" s="146" t="s">
        <v>1470</v>
      </c>
      <c r="BO153" s="146">
        <f>IFERROR(VLOOKUP(Table5[[#This Row],[HCPCS Code 2022Q3]], ASP2022Q3[], 4, FALSE), "")</f>
        <v>207.50700000000001</v>
      </c>
      <c r="BP153" s="123">
        <f>IFERROR(Table5[[#This Row],[Payment limit 2022Q3]]/Table5[[#This Row],[HCPCS code dosage 2022Q3]], "")</f>
        <v>207.50700000000001</v>
      </c>
      <c r="BQ153" s="146" t="s">
        <v>724</v>
      </c>
      <c r="BR153" s="120">
        <v>1</v>
      </c>
      <c r="BS153" s="146" t="s">
        <v>1470</v>
      </c>
      <c r="BT153" s="146">
        <v>205.64500000000001</v>
      </c>
      <c r="BU153" s="146">
        <f>IFERROR(Table5[[#This Row],[Payment limit 2023Q1]]/Table5[[#This Row],[HCPCS code dosage 2023Q1]], "")</f>
        <v>205.64500000000001</v>
      </c>
      <c r="BV153" s="192"/>
    </row>
    <row r="154" spans="1:74" x14ac:dyDescent="0.3">
      <c r="A154" s="498" t="s">
        <v>59</v>
      </c>
      <c r="B154" s="499" t="s">
        <v>1374</v>
      </c>
      <c r="C154" s="499">
        <v>1</v>
      </c>
      <c r="D154" s="502" t="s">
        <v>1660</v>
      </c>
      <c r="E154" s="503">
        <f>IFERROR(VLOOKUP(Table5[[#This Row],[HCPCS code 2016 Q1]], ASP2016Q1[], 4, FALSE), "")</f>
        <v>36413.474000000002</v>
      </c>
      <c r="F154" s="505">
        <f>IFERROR(Table5[[#This Row],[Payment Limit 2016Q1]]/Table5[[#This Row],[HCPCS code dosage 2016Q1]], "")</f>
        <v>36413.474000000002</v>
      </c>
      <c r="G154" s="499" t="s">
        <v>1374</v>
      </c>
      <c r="H154" s="499">
        <v>1</v>
      </c>
      <c r="I154" s="502" t="s">
        <v>1660</v>
      </c>
      <c r="J154" s="503">
        <f>IFERROR(VLOOKUP(Table5[[#This Row],[HCPCS code 2016 Q3]], ASP2016Q3[], 4, FALSE), "")</f>
        <v>38035.207999999999</v>
      </c>
      <c r="K154" s="505">
        <f>IFERROR(Table5[[#This Row],[Payment Limit 2016Q3]]/Table5[[#This Row],[HCPCS code dosage 2016Q3]], "")</f>
        <v>38035.207999999999</v>
      </c>
      <c r="L154" s="499" t="s">
        <v>1374</v>
      </c>
      <c r="M154" s="499">
        <v>1</v>
      </c>
      <c r="N154" s="502" t="s">
        <v>1660</v>
      </c>
      <c r="O154" s="291">
        <f>IFERROR(VLOOKUP(Table5[[#This Row],[HCPCS code 2017 Q1]], ASP2017Q1[], 4, FALSE), "")</f>
        <v>37941.904999999999</v>
      </c>
      <c r="P154" s="302">
        <f>IFERROR(Table5[[#This Row],[Payment Limit 2017Q1]]/Table5[[#This Row],[HCPCS code dosage 2017Q1]], "")</f>
        <v>37941.904999999999</v>
      </c>
      <c r="Q154" s="277" t="s">
        <v>1374</v>
      </c>
      <c r="R154" s="277">
        <v>1</v>
      </c>
      <c r="S154" s="508" t="s">
        <v>1660</v>
      </c>
      <c r="T154" s="509">
        <f>IFERROR(VLOOKUP(Table5[[#This Row],[HCPCS code 2017 Q3]], ASP2017Q3[], 4, FALSE), "")</f>
        <v>39556.883000000002</v>
      </c>
      <c r="U154" s="509">
        <f>IFERROR(Table5[[#This Row],[Payment Limit 2017Q3]]/Table5[[#This Row],[HCPCS code dosage 2017Q3]], "")</f>
        <v>39556.883000000002</v>
      </c>
      <c r="V154" s="375" t="s">
        <v>1374</v>
      </c>
      <c r="W154" s="377">
        <v>1</v>
      </c>
      <c r="X154" s="142" t="s">
        <v>1660</v>
      </c>
      <c r="Y154" s="509">
        <v>39924.057999999997</v>
      </c>
      <c r="Z154" s="511">
        <f>IFERROR(Table5[[#This Row],[Payment Limit 2018 Q1]]/Table5[[#This Row],[HCPCS code dosage 2018 Q1]],"")</f>
        <v>39924.057999999997</v>
      </c>
      <c r="AA154" s="375" t="s">
        <v>1374</v>
      </c>
      <c r="AB154" s="382">
        <v>1</v>
      </c>
      <c r="AC154" s="278" t="s">
        <v>1660</v>
      </c>
      <c r="AD154" s="379">
        <v>41532.635000000002</v>
      </c>
      <c r="AE154" s="511">
        <f>IFERROR(Table5[[#This Row],[Payment Limit 2018 Q3]]/Table5[[#This Row],[HCPCS code dosage 2018 Q3]],"")</f>
        <v>41532.635000000002</v>
      </c>
      <c r="AF154" s="508" t="s">
        <v>1374</v>
      </c>
      <c r="AG154" s="159">
        <v>42616.294000000002</v>
      </c>
      <c r="AH154" s="119" t="s">
        <v>1374</v>
      </c>
      <c r="AI154" s="120">
        <v>1</v>
      </c>
      <c r="AJ154" s="120" t="s">
        <v>1660</v>
      </c>
      <c r="AK154" s="116">
        <f>IFERROR(VLOOKUP(Table5[[#This Row],[HCPCS code 2019Q3]], ASP2019Q3[], 4, FALSE), "")</f>
        <v>44024.597000000002</v>
      </c>
      <c r="AL154" s="161">
        <f>IFERROR(Table5[[#This Row],[Payment Limit 2019Q3]]/Table5[[#This Row],[HCPCS code dosage 2019Q3]], "")</f>
        <v>44024.597000000002</v>
      </c>
      <c r="AM154" s="130" t="s">
        <v>1374</v>
      </c>
      <c r="AN154" s="130">
        <v>1</v>
      </c>
      <c r="AO154" s="130" t="s">
        <v>1660</v>
      </c>
      <c r="AP154" s="126">
        <f>IFERROR(VLOOKUP(Table5[[#This Row],[HCPCS code 2020Q1]], ASP2020Q1[], 4, FALSE), "")</f>
        <v>45942.627999999997</v>
      </c>
      <c r="AQ154" s="141">
        <f>IFERROR(Table5[[#This Row],[Payment Limit 2020Q1]]/Table5[[#This Row],[HCPCS code dosage 2020Q1]], "")</f>
        <v>45942.627999999997</v>
      </c>
      <c r="AR154" s="133" t="s">
        <v>1374</v>
      </c>
      <c r="AS154" s="130">
        <v>1</v>
      </c>
      <c r="AT154" s="130" t="s">
        <v>1660</v>
      </c>
      <c r="AU154" s="160">
        <f>IFERROR(VLOOKUP(Table5[[#This Row],[HCPCS code 2020Q3]], ASP2020Q3[], 4, FALSE), "")</f>
        <v>47617.864999999998</v>
      </c>
      <c r="AV154" s="161">
        <f>IFERROR(Table5[[#This Row],[Payment limit 2020Q3]]/Table5[[#This Row],[HCPCS code dosage 2020Q3]],"")</f>
        <v>47617.864999999998</v>
      </c>
      <c r="AW154" s="146" t="s">
        <v>1374</v>
      </c>
      <c r="AX154" s="120">
        <v>1</v>
      </c>
      <c r="AY154" s="146" t="s">
        <v>1660</v>
      </c>
      <c r="AZ154" s="146">
        <f>IFERROR(VLOOKUP(Table5[[#This Row],[HCPCS code 2021Q1]], ASP2021Q1[], 4, FALSE), "")</f>
        <v>49649.408000000003</v>
      </c>
      <c r="BA154" s="146">
        <f>IFERROR(Table5[[#This Row],[Payment limit 2021Q1]]/Table5[[#This Row],[HCPCS code dosage 2021Q1]], "")</f>
        <v>49649.408000000003</v>
      </c>
      <c r="BB154" s="148" t="s">
        <v>1374</v>
      </c>
      <c r="BC154" s="120">
        <v>1</v>
      </c>
      <c r="BD154" s="146" t="s">
        <v>1660</v>
      </c>
      <c r="BE154" s="146">
        <f>IFERROR(VLOOKUP(Table5[[#This Row],[HCPCS code 2021Q3]], ASP2021Q3[], 4, FALSE), "")</f>
        <v>51712.974999999999</v>
      </c>
      <c r="BF154" s="146">
        <f>IFERROR(Table5[[#This Row],[Payment limit 2021Q3]]/Table5[[#This Row],[HCPCS code dosage 2021Q3]], "")</f>
        <v>51712.974999999999</v>
      </c>
      <c r="BG154" s="148" t="s">
        <v>1374</v>
      </c>
      <c r="BH154" s="120">
        <v>1</v>
      </c>
      <c r="BI154" s="146" t="s">
        <v>1660</v>
      </c>
      <c r="BJ154" s="146">
        <f>IFERROR(VLOOKUP(Table5[[#This Row],[HCPCS code 2022Q1]], ASP2022Q1[], 4, FALSE), "")</f>
        <v>52421.578999999998</v>
      </c>
      <c r="BK154" s="146">
        <f>IFERROR(Table5[[#This Row],[Payment limit 2022Q1]]/Table5[[#This Row],[HCPCS code dosage 2022Q1]], "")</f>
        <v>52421.578999999998</v>
      </c>
      <c r="BL154" s="146" t="s">
        <v>1374</v>
      </c>
      <c r="BM154" s="185">
        <v>1</v>
      </c>
      <c r="BN154" s="146" t="s">
        <v>2131</v>
      </c>
      <c r="BO154" s="146">
        <f>IFERROR(VLOOKUP(Table5[[#This Row],[HCPCS Code 2022Q3]], ASP2022Q3[], 4, FALSE), "")</f>
        <v>55114.745000000003</v>
      </c>
      <c r="BP154" s="123">
        <f>IFERROR(Table5[[#This Row],[Payment limit 2022Q3]]/Table5[[#This Row],[HCPCS code dosage 2022Q3]], "")</f>
        <v>55114.745000000003</v>
      </c>
      <c r="BQ154" s="146" t="s">
        <v>1374</v>
      </c>
      <c r="BR154" s="120">
        <v>1</v>
      </c>
      <c r="BS154" s="146" t="s">
        <v>2131</v>
      </c>
      <c r="BT154" s="146">
        <v>53981.464</v>
      </c>
      <c r="BU154" s="146">
        <f>IFERROR(Table5[[#This Row],[Payment limit 2023Q1]]/Table5[[#This Row],[HCPCS code dosage 2023Q1]], "")</f>
        <v>53981.464</v>
      </c>
      <c r="BV154" s="192"/>
    </row>
    <row r="155" spans="1:74" x14ac:dyDescent="0.3">
      <c r="A155" s="498" t="s">
        <v>152</v>
      </c>
      <c r="B155" s="499" t="s">
        <v>1077</v>
      </c>
      <c r="C155" s="499">
        <v>1</v>
      </c>
      <c r="D155" s="502" t="s">
        <v>1470</v>
      </c>
      <c r="E155" s="503">
        <f>IFERROR(VLOOKUP(Table5[[#This Row],[HCPCS code 2016 Q1]], ASP2016Q1[], 4, FALSE), "")</f>
        <v>9.6679999999999993</v>
      </c>
      <c r="F155" s="505">
        <f>IFERROR(Table5[[#This Row],[Payment Limit 2016Q1]]/Table5[[#This Row],[HCPCS code dosage 2016Q1]], "")</f>
        <v>9.6679999999999993</v>
      </c>
      <c r="G155" s="499" t="s">
        <v>1077</v>
      </c>
      <c r="H155" s="499">
        <v>1</v>
      </c>
      <c r="I155" s="502" t="s">
        <v>1470</v>
      </c>
      <c r="J155" s="503">
        <f>IFERROR(VLOOKUP(Table5[[#This Row],[HCPCS code 2016 Q3]], ASP2016Q3[], 4, FALSE), "")</f>
        <v>7.87</v>
      </c>
      <c r="K155" s="505">
        <f>IFERROR(Table5[[#This Row],[Payment Limit 2016Q3]]/Table5[[#This Row],[HCPCS code dosage 2016Q3]], "")</f>
        <v>7.87</v>
      </c>
      <c r="L155" s="499" t="s">
        <v>1077</v>
      </c>
      <c r="M155" s="499">
        <v>1</v>
      </c>
      <c r="N155" s="502" t="s">
        <v>1470</v>
      </c>
      <c r="O155" s="291">
        <f>IFERROR(VLOOKUP(Table5[[#This Row],[HCPCS code 2017 Q1]], ASP2017Q1[], 4, FALSE), "")</f>
        <v>7.8440000000000003</v>
      </c>
      <c r="P155" s="302">
        <f>IFERROR(Table5[[#This Row],[Payment Limit 2017Q1]]/Table5[[#This Row],[HCPCS code dosage 2017Q1]], "")</f>
        <v>7.8440000000000003</v>
      </c>
      <c r="Q155" s="277" t="s">
        <v>1077</v>
      </c>
      <c r="R155" s="277">
        <v>1</v>
      </c>
      <c r="S155" s="277" t="s">
        <v>1470</v>
      </c>
      <c r="T155" s="414">
        <f>IFERROR(VLOOKUP(Table5[[#This Row],[HCPCS code 2017 Q3]], ASP2017Q3[], 4, FALSE), "")</f>
        <v>7.7450000000000001</v>
      </c>
      <c r="U155" s="414">
        <f>IFERROR(Table5[[#This Row],[Payment Limit 2017Q3]]/Table5[[#This Row],[HCPCS code dosage 2017Q3]], "")</f>
        <v>7.7450000000000001</v>
      </c>
      <c r="V155" s="375" t="s">
        <v>1077</v>
      </c>
      <c r="W155" s="377">
        <v>1</v>
      </c>
      <c r="X155" s="142" t="s">
        <v>1470</v>
      </c>
      <c r="Y155" s="414">
        <v>7.4619999999999997</v>
      </c>
      <c r="Z155" s="415">
        <f>IFERROR(Table5[[#This Row],[Payment Limit 2018 Q1]]/Table5[[#This Row],[HCPCS code dosage 2018 Q1]],"")</f>
        <v>7.4619999999999997</v>
      </c>
      <c r="AA155" s="375" t="s">
        <v>1077</v>
      </c>
      <c r="AB155" s="382">
        <v>1</v>
      </c>
      <c r="AC155" s="278" t="s">
        <v>1470</v>
      </c>
      <c r="AD155" s="379">
        <v>7.3150000000000004</v>
      </c>
      <c r="AE155" s="415">
        <f>IFERROR(Table5[[#This Row],[Payment Limit 2018 Q3]]/Table5[[#This Row],[HCPCS code dosage 2018 Q3]],"")</f>
        <v>7.3150000000000004</v>
      </c>
      <c r="AF155" s="277" t="s">
        <v>1077</v>
      </c>
      <c r="AG155" s="159"/>
      <c r="AH155" s="119" t="s">
        <v>1077</v>
      </c>
      <c r="AI155" s="120" t="s">
        <v>1665</v>
      </c>
      <c r="AJ155" s="120" t="s">
        <v>1470</v>
      </c>
      <c r="AK155" s="116">
        <f>IFERROR(VLOOKUP(Table5[[#This Row],[HCPCS code 2019Q3]], ASP2019Q3[], 4, FALSE), "")</f>
        <v>6.9560000000000004</v>
      </c>
      <c r="AL155" s="161">
        <f>IFERROR(Table5[[#This Row],[Payment Limit 2019Q3]]/Table5[[#This Row],[HCPCS code dosage 2019Q3]], "")</f>
        <v>6.9560000000000004</v>
      </c>
      <c r="AM155" s="130" t="s">
        <v>1077</v>
      </c>
      <c r="AN155" s="130" t="s">
        <v>1665</v>
      </c>
      <c r="AO155" s="130" t="s">
        <v>1470</v>
      </c>
      <c r="AP155" s="126">
        <f>IFERROR(VLOOKUP(Table5[[#This Row],[HCPCS code 2020Q1]], ASP2020Q1[], 4, FALSE), "")</f>
        <v>6.0019999999999998</v>
      </c>
      <c r="AQ155" s="141">
        <f>IFERROR(Table5[[#This Row],[Payment Limit 2020Q1]]/Table5[[#This Row],[HCPCS code dosage 2020Q1]], "")</f>
        <v>6.0019999999999998</v>
      </c>
      <c r="AR155" s="133" t="s">
        <v>1077</v>
      </c>
      <c r="AS155" s="130" t="s">
        <v>1665</v>
      </c>
      <c r="AT155" s="130" t="s">
        <v>1470</v>
      </c>
      <c r="AU155" s="160">
        <f>IFERROR(VLOOKUP(Table5[[#This Row],[HCPCS code 2020Q3]], ASP2020Q3[], 4, FALSE), "")</f>
        <v>6.7089999999999996</v>
      </c>
      <c r="AV155" s="161">
        <f>IFERROR(Table5[[#This Row],[Payment limit 2020Q3]]/Table5[[#This Row],[HCPCS code dosage 2020Q3]],"")</f>
        <v>6.7089999999999996</v>
      </c>
      <c r="AW155" s="146" t="s">
        <v>1077</v>
      </c>
      <c r="AX155" s="120" t="s">
        <v>1665</v>
      </c>
      <c r="AY155" s="146" t="s">
        <v>1470</v>
      </c>
      <c r="AZ155" s="146">
        <f>IFERROR(VLOOKUP(Table5[[#This Row],[HCPCS code 2021Q1]], ASP2021Q1[], 4, FALSE), "")</f>
        <v>6.5019999999999998</v>
      </c>
      <c r="BA155" s="146">
        <f>IFERROR(Table5[[#This Row],[Payment limit 2021Q1]]/Table5[[#This Row],[HCPCS code dosage 2021Q1]], "")</f>
        <v>6.5019999999999998</v>
      </c>
      <c r="BB155" s="148" t="s">
        <v>1077</v>
      </c>
      <c r="BC155" s="120" t="s">
        <v>1665</v>
      </c>
      <c r="BD155" s="146" t="s">
        <v>1470</v>
      </c>
      <c r="BE155" s="146">
        <f>IFERROR(VLOOKUP(Table5[[#This Row],[HCPCS code 2021Q3]], ASP2021Q3[], 4, FALSE), "")</f>
        <v>5.5730000000000004</v>
      </c>
      <c r="BF155" s="146">
        <f>IFERROR(Table5[[#This Row],[Payment limit 2021Q3]]/Table5[[#This Row],[HCPCS code dosage 2021Q3]], "")</f>
        <v>5.5730000000000004</v>
      </c>
      <c r="BG155" s="148" t="s">
        <v>1077</v>
      </c>
      <c r="BH155" s="120" t="s">
        <v>1665</v>
      </c>
      <c r="BI155" s="146" t="s">
        <v>1470</v>
      </c>
      <c r="BJ155" s="146">
        <f>IFERROR(VLOOKUP(Table5[[#This Row],[HCPCS code 2022Q1]], ASP2022Q1[], 4, FALSE), "")</f>
        <v>4.5010000000000003</v>
      </c>
      <c r="BK155" s="146">
        <f>IFERROR(Table5[[#This Row],[Payment limit 2022Q1]]/Table5[[#This Row],[HCPCS code dosage 2022Q1]], "")</f>
        <v>4.5010000000000003</v>
      </c>
      <c r="BL155" s="146" t="s">
        <v>1077</v>
      </c>
      <c r="BM155" s="185">
        <v>1</v>
      </c>
      <c r="BN155" s="146" t="s">
        <v>1470</v>
      </c>
      <c r="BO155" s="146">
        <f>IFERROR(VLOOKUP(Table5[[#This Row],[HCPCS Code 2022Q3]], ASP2022Q3[], 4, FALSE), "")</f>
        <v>2.2149999999999999</v>
      </c>
      <c r="BP155" s="123">
        <f>IFERROR(Table5[[#This Row],[Payment limit 2022Q3]]/Table5[[#This Row],[HCPCS code dosage 2022Q3]], "")</f>
        <v>2.2149999999999999</v>
      </c>
      <c r="BQ155" s="146" t="s">
        <v>1077</v>
      </c>
      <c r="BR155" s="120">
        <v>1</v>
      </c>
      <c r="BS155" s="146" t="s">
        <v>1470</v>
      </c>
      <c r="BT155" s="146">
        <v>3.1459999999999999</v>
      </c>
      <c r="BU155" s="146">
        <f>IFERROR(Table5[[#This Row],[Payment limit 2023Q1]]/Table5[[#This Row],[HCPCS code dosage 2023Q1]], "")</f>
        <v>3.1459999999999999</v>
      </c>
      <c r="BV155" s="192"/>
    </row>
    <row r="156" spans="1:74" x14ac:dyDescent="0.3">
      <c r="A156" s="70" t="s">
        <v>2757</v>
      </c>
      <c r="B156" s="501"/>
      <c r="C156" s="411"/>
      <c r="D156" s="412"/>
      <c r="E156" s="281" t="str">
        <f>IFERROR(VLOOKUP(Table5[[#This Row],[HCPCS code 2016 Q1]], ASP2016Q1[], 4, FALSE), "")</f>
        <v/>
      </c>
      <c r="F156" s="306" t="str">
        <f>IFERROR(Table5[[#This Row],[Payment Limit 2016Q1]]/Table5[[#This Row],[HCPCS code dosage 2016Q1]], "")</f>
        <v/>
      </c>
      <c r="G156" s="411"/>
      <c r="H156" s="411"/>
      <c r="I156" s="412"/>
      <c r="J156" s="281" t="str">
        <f>IFERROR(VLOOKUP(Table5[[#This Row],[HCPCS code 2016 Q3]], ASP2016Q3[], 4, FALSE), "")</f>
        <v/>
      </c>
      <c r="K156" s="306" t="str">
        <f>IFERROR(Table5[[#This Row],[Payment Limit 2016Q3]]/Table5[[#This Row],[HCPCS code dosage 2016Q3]], "")</f>
        <v/>
      </c>
      <c r="L156" s="288"/>
      <c r="M156" s="288"/>
      <c r="N156" s="277"/>
      <c r="O156" s="281" t="str">
        <f>IFERROR(VLOOKUP(Table5[[#This Row],[HCPCS code 2017 Q1]], ASP2017Q1[], 4, FALSE), "")</f>
        <v/>
      </c>
      <c r="P156" s="306" t="str">
        <f>IFERROR(Table5[[#This Row],[Payment Limit 2017Q1]]/Table5[[#This Row],[HCPCS code dosage 2017Q1]], "")</f>
        <v/>
      </c>
      <c r="Q156" s="278"/>
      <c r="R156" s="276"/>
      <c r="S156" s="276"/>
      <c r="T156" s="281" t="str">
        <f>IFERROR(VLOOKUP(Table5[[#This Row],[HCPCS code 2017 Q3]], ASP2017Q3[], 4, FALSE), "")</f>
        <v/>
      </c>
      <c r="U156" s="281" t="str">
        <f>IFERROR(Table5[[#This Row],[Payment Limit 2017Q3]]/Table5[[#This Row],[HCPCS code dosage 2017Q3]], "")</f>
        <v/>
      </c>
      <c r="V156" s="375"/>
      <c r="W156" s="377"/>
      <c r="X156" s="142"/>
      <c r="Y156" s="414"/>
      <c r="Z156" s="415" t="str">
        <f>IFERROR(Table5[[#This Row],[Payment Limit 2018 Q1]]/Table5[[#This Row],[HCPCS code dosage 2018 Q1]],"")</f>
        <v/>
      </c>
      <c r="AA156" s="375"/>
      <c r="AB156" s="382"/>
      <c r="AC156" s="278"/>
      <c r="AD156" s="379"/>
      <c r="AE156" s="306" t="str">
        <f>IFERROR(Table5[[#This Row],[Payment Limit 2018 Q3]]/Table5[[#This Row],[HCPCS code dosage 2018 Q3]],"")</f>
        <v/>
      </c>
      <c r="AF156" s="276"/>
      <c r="AG156" s="159"/>
      <c r="AH156" s="119"/>
      <c r="AI156" s="120"/>
      <c r="AJ156" s="120"/>
      <c r="AK156" s="160" t="str">
        <f>IFERROR(VLOOKUP(Table5[[#This Row],[HCPCS code 2019Q3]], ASP2019Q3[], 4, FALSE), "")</f>
        <v/>
      </c>
      <c r="AL156" s="161" t="str">
        <f>IFERROR(Table5[[#This Row],[Payment Limit 2019Q3]]/Table5[[#This Row],[HCPCS code dosage 2019Q3]], "")</f>
        <v/>
      </c>
      <c r="AM156" s="130"/>
      <c r="AN156" s="130"/>
      <c r="AO156" s="130"/>
      <c r="AP156" s="126" t="str">
        <f>IFERROR(VLOOKUP(Table5[[#This Row],[HCPCS code 2020Q1]], ASP2020Q1[], 4, FALSE), "")</f>
        <v/>
      </c>
      <c r="AQ156" s="141" t="str">
        <f>IFERROR(Table5[[#This Row],[Payment Limit 2020Q1]]/Table5[[#This Row],[HCPCS code dosage 2020Q1]], "")</f>
        <v/>
      </c>
      <c r="AR156" s="133"/>
      <c r="AS156" s="130"/>
      <c r="AT156" s="130"/>
      <c r="AU156" s="160" t="str">
        <f>IFERROR(VLOOKUP(Table5[[#This Row],[HCPCS code 2020Q3]], ASP2020Q3[], 4, FALSE), "")</f>
        <v/>
      </c>
      <c r="AV156" s="161" t="str">
        <f>IFERROR(Table5[[#This Row],[Payment limit 2020Q3]]/Table5[[#This Row],[HCPCS code dosage 2020Q3]],"")</f>
        <v/>
      </c>
      <c r="AW156" s="146"/>
      <c r="AX156" s="120"/>
      <c r="AY156" s="146"/>
      <c r="AZ156" s="146" t="str">
        <f>IFERROR(VLOOKUP(Table5[[#This Row],[HCPCS code 2021Q1]], ASP2021Q1[], 4, FALSE), "")</f>
        <v/>
      </c>
      <c r="BA156" s="146" t="str">
        <f>IFERROR(Table5[[#This Row],[Payment limit 2021Q1]]/Table5[[#This Row],[HCPCS code dosage 2021Q1]], "")</f>
        <v/>
      </c>
      <c r="BB156" s="148" t="s">
        <v>1996</v>
      </c>
      <c r="BC156" s="120">
        <v>2</v>
      </c>
      <c r="BD156" s="146" t="s">
        <v>1470</v>
      </c>
      <c r="BE156" s="146">
        <f>IFERROR(VLOOKUP(Table5[[#This Row],[HCPCS code 2021Q3]], ASP2021Q3[], 4, FALSE), "")</f>
        <v>12.638</v>
      </c>
      <c r="BF156" s="146">
        <f>IFERROR(Table5[[#This Row],[Payment limit 2021Q3]]/Table5[[#This Row],[HCPCS code dosage 2021Q3]], "")</f>
        <v>6.319</v>
      </c>
      <c r="BG156" s="148" t="s">
        <v>1996</v>
      </c>
      <c r="BH156" s="120">
        <v>2</v>
      </c>
      <c r="BI156" s="146" t="s">
        <v>1470</v>
      </c>
      <c r="BJ156" s="146">
        <f>IFERROR(VLOOKUP(Table5[[#This Row],[HCPCS code 2022Q1]], ASP2022Q1[], 4, FALSE), "")</f>
        <v>12.8</v>
      </c>
      <c r="BK156" s="146">
        <f>IFERROR(Table5[[#This Row],[Payment limit 2022Q1]]/Table5[[#This Row],[HCPCS code dosage 2022Q1]], "")</f>
        <v>6.4</v>
      </c>
      <c r="BL156" s="146" t="s">
        <v>1996</v>
      </c>
      <c r="BM156" s="185">
        <v>2</v>
      </c>
      <c r="BN156" s="146" t="s">
        <v>1470</v>
      </c>
      <c r="BO156" s="146">
        <f>IFERROR(VLOOKUP(Table5[[#This Row],[HCPCS Code 2022Q3]], ASP2022Q3[], 4, FALSE), "")</f>
        <v>12.965</v>
      </c>
      <c r="BP156" s="123">
        <f>IFERROR(Table5[[#This Row],[Payment limit 2022Q3]]/Table5[[#This Row],[HCPCS code dosage 2022Q3]], "")</f>
        <v>6.4824999999999999</v>
      </c>
      <c r="BQ156" s="146"/>
      <c r="BR156" s="242"/>
      <c r="BS156" s="146"/>
      <c r="BT156" s="146"/>
      <c r="BU156" s="146" t="str">
        <f>IFERROR(Table5[[#This Row],[Payment limit 2023Q1]]/Table5[[#This Row],[HCPCS code dosage 2023Q1]], "")</f>
        <v/>
      </c>
      <c r="BV156" s="192"/>
    </row>
    <row r="157" spans="1:74" x14ac:dyDescent="0.3">
      <c r="A157" s="498" t="s">
        <v>82</v>
      </c>
      <c r="B157" s="499" t="s">
        <v>1139</v>
      </c>
      <c r="C157" s="499">
        <v>5</v>
      </c>
      <c r="D157" s="502" t="s">
        <v>1470</v>
      </c>
      <c r="E157" s="503">
        <f>IFERROR(VLOOKUP(Table5[[#This Row],[HCPCS code 2016 Q1]], ASP2016Q1[], 4, FALSE), "")</f>
        <v>3.6190000000000002</v>
      </c>
      <c r="F157" s="505">
        <f>IFERROR(Table5[[#This Row],[Payment Limit 2016Q1]]/Table5[[#This Row],[HCPCS code dosage 2016Q1]], "")</f>
        <v>0.7238</v>
      </c>
      <c r="G157" s="499" t="s">
        <v>1139</v>
      </c>
      <c r="H157" s="499">
        <v>5</v>
      </c>
      <c r="I157" s="502" t="s">
        <v>1470</v>
      </c>
      <c r="J157" s="503">
        <f>IFERROR(VLOOKUP(Table5[[#This Row],[HCPCS code 2016 Q3]], ASP2016Q3[], 4, FALSE), "")</f>
        <v>2.8759999999999999</v>
      </c>
      <c r="K157" s="505">
        <f>IFERROR(Table5[[#This Row],[Payment Limit 2016Q3]]/Table5[[#This Row],[HCPCS code dosage 2016Q3]], "")</f>
        <v>0.57519999999999993</v>
      </c>
      <c r="L157" s="499" t="s">
        <v>1139</v>
      </c>
      <c r="M157" s="499">
        <v>5</v>
      </c>
      <c r="N157" s="502" t="s">
        <v>1470</v>
      </c>
      <c r="O157" s="504">
        <f>IFERROR(VLOOKUP(Table5[[#This Row],[HCPCS code 2017 Q1]], ASP2017Q1[], 4, FALSE), "")</f>
        <v>1.946</v>
      </c>
      <c r="P157" s="506">
        <f>IFERROR(Table5[[#This Row],[Payment Limit 2017Q1]]/Table5[[#This Row],[HCPCS code dosage 2017Q1]], "")</f>
        <v>0.38919999999999999</v>
      </c>
      <c r="Q157" s="277" t="s">
        <v>1139</v>
      </c>
      <c r="R157" s="277">
        <v>5</v>
      </c>
      <c r="S157" s="277" t="s">
        <v>1470</v>
      </c>
      <c r="T157" s="414">
        <f>IFERROR(VLOOKUP(Table5[[#This Row],[HCPCS code 2017 Q3]], ASP2017Q3[], 4, FALSE), "")</f>
        <v>1.873</v>
      </c>
      <c r="U157" s="414">
        <f>IFERROR(Table5[[#This Row],[Payment Limit 2017Q3]]/Table5[[#This Row],[HCPCS code dosage 2017Q3]], "")</f>
        <v>0.37459999999999999</v>
      </c>
      <c r="V157" s="375" t="s">
        <v>1139</v>
      </c>
      <c r="W157" s="377">
        <v>5</v>
      </c>
      <c r="X157" s="142" t="s">
        <v>1470</v>
      </c>
      <c r="Y157" s="414">
        <v>1.0249999999999999</v>
      </c>
      <c r="Z157" s="415">
        <f>IFERROR(Table5[[#This Row],[Payment Limit 2018 Q1]]/Table5[[#This Row],[HCPCS code dosage 2018 Q1]],"")</f>
        <v>0.20499999999999999</v>
      </c>
      <c r="AA157" s="375" t="s">
        <v>1139</v>
      </c>
      <c r="AB157" s="382">
        <v>5</v>
      </c>
      <c r="AC157" s="278" t="s">
        <v>1470</v>
      </c>
      <c r="AD157" s="379">
        <v>0.92300000000000004</v>
      </c>
      <c r="AE157" s="415">
        <f>IFERROR(Table5[[#This Row],[Payment Limit 2018 Q3]]/Table5[[#This Row],[HCPCS code dosage 2018 Q3]],"")</f>
        <v>0.18460000000000001</v>
      </c>
      <c r="AF157" s="277" t="s">
        <v>1139</v>
      </c>
      <c r="AG157" s="159">
        <v>0.1734</v>
      </c>
      <c r="AH157" s="119" t="s">
        <v>1139</v>
      </c>
      <c r="AI157" s="120" t="s">
        <v>1666</v>
      </c>
      <c r="AJ157" s="120" t="s">
        <v>1470</v>
      </c>
      <c r="AK157" s="116">
        <f>IFERROR(VLOOKUP(Table5[[#This Row],[HCPCS code 2019Q3]], ASP2019Q3[], 4, FALSE), "")</f>
        <v>0.76500000000000001</v>
      </c>
      <c r="AL157" s="161">
        <f>IFERROR(Table5[[#This Row],[Payment Limit 2019Q3]]/Table5[[#This Row],[HCPCS code dosage 2019Q3]], "")</f>
        <v>0.153</v>
      </c>
      <c r="AM157" s="130" t="s">
        <v>1139</v>
      </c>
      <c r="AN157" s="130" t="s">
        <v>1666</v>
      </c>
      <c r="AO157" s="130" t="s">
        <v>1470</v>
      </c>
      <c r="AP157" s="126">
        <f>IFERROR(VLOOKUP(Table5[[#This Row],[HCPCS code 2020Q1]], ASP2020Q1[], 4, FALSE), "")</f>
        <v>0.90800000000000003</v>
      </c>
      <c r="AQ157" s="141">
        <f>IFERROR(Table5[[#This Row],[Payment Limit 2020Q1]]/Table5[[#This Row],[HCPCS code dosage 2020Q1]], "")</f>
        <v>0.18160000000000001</v>
      </c>
      <c r="AR157" s="133" t="s">
        <v>1139</v>
      </c>
      <c r="AS157" s="130" t="s">
        <v>1666</v>
      </c>
      <c r="AT157" s="130" t="s">
        <v>1470</v>
      </c>
      <c r="AU157" s="160">
        <f>IFERROR(VLOOKUP(Table5[[#This Row],[HCPCS code 2020Q3]], ASP2020Q3[], 4, FALSE), "")</f>
        <v>0.61599999999999999</v>
      </c>
      <c r="AV157" s="161">
        <f>IFERROR(Table5[[#This Row],[Payment limit 2020Q3]]/Table5[[#This Row],[HCPCS code dosage 2020Q3]],"")</f>
        <v>0.1232</v>
      </c>
      <c r="AW157" s="146" t="s">
        <v>1139</v>
      </c>
      <c r="AX157" s="120" t="s">
        <v>1666</v>
      </c>
      <c r="AY157" s="146" t="s">
        <v>1470</v>
      </c>
      <c r="AZ157" s="146">
        <f>IFERROR(VLOOKUP(Table5[[#This Row],[HCPCS code 2021Q1]], ASP2021Q1[], 4, FALSE), "")</f>
        <v>0.53200000000000003</v>
      </c>
      <c r="BA157" s="146">
        <f>IFERROR(Table5[[#This Row],[Payment limit 2021Q1]]/Table5[[#This Row],[HCPCS code dosage 2021Q1]], "")</f>
        <v>0.10640000000000001</v>
      </c>
      <c r="BB157" s="148" t="s">
        <v>1139</v>
      </c>
      <c r="BC157" s="120" t="s">
        <v>1666</v>
      </c>
      <c r="BD157" s="146" t="s">
        <v>1470</v>
      </c>
      <c r="BE157" s="146">
        <f>IFERROR(VLOOKUP(Table5[[#This Row],[HCPCS code 2021Q3]], ASP2021Q3[], 4, FALSE), "")</f>
        <v>0.45200000000000001</v>
      </c>
      <c r="BF157" s="146">
        <f>IFERROR(Table5[[#This Row],[Payment limit 2021Q3]]/Table5[[#This Row],[HCPCS code dosage 2021Q3]], "")</f>
        <v>9.0400000000000008E-2</v>
      </c>
      <c r="BG157" s="148" t="s">
        <v>1139</v>
      </c>
      <c r="BH157" s="120" t="s">
        <v>1666</v>
      </c>
      <c r="BI157" s="146" t="s">
        <v>1470</v>
      </c>
      <c r="BJ157" s="146">
        <f>IFERROR(VLOOKUP(Table5[[#This Row],[HCPCS code 2022Q1]], ASP2022Q1[], 4, FALSE), "")</f>
        <v>0.35299999999999998</v>
      </c>
      <c r="BK157" s="146">
        <f>IFERROR(Table5[[#This Row],[Payment limit 2022Q1]]/Table5[[#This Row],[HCPCS code dosage 2022Q1]], "")</f>
        <v>7.0599999999999996E-2</v>
      </c>
      <c r="BL157" s="146" t="s">
        <v>1139</v>
      </c>
      <c r="BM157" s="185">
        <v>5</v>
      </c>
      <c r="BN157" s="146" t="s">
        <v>1470</v>
      </c>
      <c r="BO157" s="146">
        <f>IFERROR(VLOOKUP(Table5[[#This Row],[HCPCS Code 2022Q3]], ASP2022Q3[], 4, FALSE), "")</f>
        <v>0.255</v>
      </c>
      <c r="BP157" s="123">
        <f>IFERROR(Table5[[#This Row],[Payment limit 2022Q3]]/Table5[[#This Row],[HCPCS code dosage 2022Q3]], "")</f>
        <v>5.1000000000000004E-2</v>
      </c>
      <c r="BQ157" s="146" t="s">
        <v>1139</v>
      </c>
      <c r="BR157" s="120">
        <v>5</v>
      </c>
      <c r="BS157" s="146" t="s">
        <v>1470</v>
      </c>
      <c r="BT157" s="146">
        <v>0.21099999999999999</v>
      </c>
      <c r="BU157" s="146">
        <f>IFERROR(Table5[[#This Row],[Payment limit 2023Q1]]/Table5[[#This Row],[HCPCS code dosage 2023Q1]], "")</f>
        <v>4.2200000000000001E-2</v>
      </c>
      <c r="BV157" s="192"/>
    </row>
    <row r="158" spans="1:74" x14ac:dyDescent="0.3">
      <c r="A158" s="498" t="s">
        <v>111</v>
      </c>
      <c r="B158" s="499" t="s">
        <v>1319</v>
      </c>
      <c r="C158" s="499">
        <v>1</v>
      </c>
      <c r="D158" s="502" t="s">
        <v>1470</v>
      </c>
      <c r="E158" s="503">
        <f>IFERROR(VLOOKUP(Table5[[#This Row],[HCPCS code 2016 Q1]], ASP2016Q1[], 4, FALSE), "")</f>
        <v>63.737000000000002</v>
      </c>
      <c r="F158" s="505">
        <f>IFERROR(Table5[[#This Row],[Payment Limit 2016Q1]]/Table5[[#This Row],[HCPCS code dosage 2016Q1]], "")</f>
        <v>63.737000000000002</v>
      </c>
      <c r="G158" s="499" t="s">
        <v>1319</v>
      </c>
      <c r="H158" s="499">
        <v>1</v>
      </c>
      <c r="I158" s="502" t="s">
        <v>1470</v>
      </c>
      <c r="J158" s="503">
        <f>IFERROR(VLOOKUP(Table5[[#This Row],[HCPCS code 2016 Q3]], ASP2016Q3[], 4, FALSE), "")</f>
        <v>65.582999999999998</v>
      </c>
      <c r="K158" s="505">
        <f>IFERROR(Table5[[#This Row],[Payment Limit 2016Q3]]/Table5[[#This Row],[HCPCS code dosage 2016Q3]], "")</f>
        <v>65.582999999999998</v>
      </c>
      <c r="L158" s="499" t="s">
        <v>1319</v>
      </c>
      <c r="M158" s="499">
        <v>1</v>
      </c>
      <c r="N158" s="502" t="s">
        <v>1470</v>
      </c>
      <c r="O158" s="504">
        <f>IFERROR(VLOOKUP(Table5[[#This Row],[HCPCS code 2017 Q1]], ASP2017Q1[], 4, FALSE), "")</f>
        <v>67.932000000000002</v>
      </c>
      <c r="P158" s="506">
        <f>IFERROR(Table5[[#This Row],[Payment Limit 2017Q1]]/Table5[[#This Row],[HCPCS code dosage 2017Q1]], "")</f>
        <v>67.932000000000002</v>
      </c>
      <c r="Q158" s="277" t="s">
        <v>1319</v>
      </c>
      <c r="R158" s="277">
        <v>1</v>
      </c>
      <c r="S158" s="277" t="s">
        <v>1470</v>
      </c>
      <c r="T158" s="414">
        <f>IFERROR(VLOOKUP(Table5[[#This Row],[HCPCS code 2017 Q3]], ASP2017Q3[], 4, FALSE), "")</f>
        <v>69.977999999999994</v>
      </c>
      <c r="U158" s="414">
        <f>IFERROR(Table5[[#This Row],[Payment Limit 2017Q3]]/Table5[[#This Row],[HCPCS code dosage 2017Q3]], "")</f>
        <v>69.977999999999994</v>
      </c>
      <c r="V158" s="375" t="s">
        <v>1319</v>
      </c>
      <c r="W158" s="377">
        <v>1</v>
      </c>
      <c r="X158" s="142" t="s">
        <v>1470</v>
      </c>
      <c r="Y158" s="414">
        <v>71.692999999999998</v>
      </c>
      <c r="Z158" s="415">
        <f>IFERROR(Table5[[#This Row],[Payment Limit 2018 Q1]]/Table5[[#This Row],[HCPCS code dosage 2018 Q1]],"")</f>
        <v>71.692999999999998</v>
      </c>
      <c r="AA158" s="375" t="s">
        <v>1319</v>
      </c>
      <c r="AB158" s="382">
        <v>1</v>
      </c>
      <c r="AC158" s="278" t="s">
        <v>1470</v>
      </c>
      <c r="AD158" s="379">
        <v>73.769000000000005</v>
      </c>
      <c r="AE158" s="415">
        <f>IFERROR(Table5[[#This Row],[Payment Limit 2018 Q3]]/Table5[[#This Row],[HCPCS code dosage 2018 Q3]],"")</f>
        <v>73.769000000000005</v>
      </c>
      <c r="AF158" s="277" t="s">
        <v>1319</v>
      </c>
      <c r="AG158" s="159">
        <v>65.555000000000007</v>
      </c>
      <c r="AH158" s="119" t="s">
        <v>1319</v>
      </c>
      <c r="AI158" s="120" t="s">
        <v>1665</v>
      </c>
      <c r="AJ158" s="120" t="s">
        <v>1470</v>
      </c>
      <c r="AK158" s="116">
        <f>IFERROR(VLOOKUP(Table5[[#This Row],[HCPCS code 2019Q3]], ASP2019Q3[], 4, FALSE), "")</f>
        <v>57.927999999999997</v>
      </c>
      <c r="AL158" s="161">
        <f>IFERROR(Table5[[#This Row],[Payment Limit 2019Q3]]/Table5[[#This Row],[HCPCS code dosage 2019Q3]], "")</f>
        <v>57.927999999999997</v>
      </c>
      <c r="AM158" s="130" t="s">
        <v>1319</v>
      </c>
      <c r="AN158" s="130" t="s">
        <v>1665</v>
      </c>
      <c r="AO158" s="130" t="s">
        <v>1470</v>
      </c>
      <c r="AP158" s="126">
        <f>IFERROR(VLOOKUP(Table5[[#This Row],[HCPCS code 2020Q1]], ASP2020Q1[], 4, FALSE), "")</f>
        <v>47.927999999999997</v>
      </c>
      <c r="AQ158" s="141">
        <f>IFERROR(Table5[[#This Row],[Payment Limit 2020Q1]]/Table5[[#This Row],[HCPCS code dosage 2020Q1]], "")</f>
        <v>47.927999999999997</v>
      </c>
      <c r="AR158" s="133" t="s">
        <v>1319</v>
      </c>
      <c r="AS158" s="130" t="s">
        <v>1665</v>
      </c>
      <c r="AT158" s="130" t="s">
        <v>1470</v>
      </c>
      <c r="AU158" s="160">
        <f>IFERROR(VLOOKUP(Table5[[#This Row],[HCPCS code 2020Q3]], ASP2020Q3[], 4, FALSE), "")</f>
        <v>44.514000000000003</v>
      </c>
      <c r="AV158" s="161">
        <f>IFERROR(Table5[[#This Row],[Payment limit 2020Q3]]/Table5[[#This Row],[HCPCS code dosage 2020Q3]],"")</f>
        <v>44.514000000000003</v>
      </c>
      <c r="AW158" s="146" t="s">
        <v>1319</v>
      </c>
      <c r="AX158" s="120" t="s">
        <v>1665</v>
      </c>
      <c r="AY158" s="146" t="s">
        <v>1470</v>
      </c>
      <c r="AZ158" s="146">
        <f>IFERROR(VLOOKUP(Table5[[#This Row],[HCPCS code 2021Q1]], ASP2021Q1[], 4, FALSE), "")</f>
        <v>42.857999999999997</v>
      </c>
      <c r="BA158" s="146">
        <f>IFERROR(Table5[[#This Row],[Payment limit 2021Q1]]/Table5[[#This Row],[HCPCS code dosage 2021Q1]], "")</f>
        <v>42.857999999999997</v>
      </c>
      <c r="BB158" s="148" t="s">
        <v>1319</v>
      </c>
      <c r="BC158" s="120" t="s">
        <v>1665</v>
      </c>
      <c r="BD158" s="146" t="s">
        <v>1470</v>
      </c>
      <c r="BE158" s="146">
        <f>IFERROR(VLOOKUP(Table5[[#This Row],[HCPCS code 2021Q3]], ASP2021Q3[], 4, FALSE), "")</f>
        <v>37.634</v>
      </c>
      <c r="BF158" s="146">
        <f>IFERROR(Table5[[#This Row],[Payment limit 2021Q3]]/Table5[[#This Row],[HCPCS code dosage 2021Q3]], "")</f>
        <v>37.634</v>
      </c>
      <c r="BG158" s="148" t="s">
        <v>1319</v>
      </c>
      <c r="BH158" s="120" t="s">
        <v>1665</v>
      </c>
      <c r="BI158" s="146" t="s">
        <v>1470</v>
      </c>
      <c r="BJ158" s="146">
        <f>IFERROR(VLOOKUP(Table5[[#This Row],[HCPCS code 2022Q1]], ASP2022Q1[], 4, FALSE), "")</f>
        <v>34.747999999999998</v>
      </c>
      <c r="BK158" s="146">
        <f>IFERROR(Table5[[#This Row],[Payment limit 2022Q1]]/Table5[[#This Row],[HCPCS code dosage 2022Q1]], "")</f>
        <v>34.747999999999998</v>
      </c>
      <c r="BL158" s="146" t="s">
        <v>1319</v>
      </c>
      <c r="BM158" s="185">
        <v>1</v>
      </c>
      <c r="BN158" s="146" t="s">
        <v>1470</v>
      </c>
      <c r="BO158" s="146">
        <f>IFERROR(VLOOKUP(Table5[[#This Row],[HCPCS Code 2022Q3]], ASP2022Q3[], 4, FALSE), "")</f>
        <v>32.909999999999997</v>
      </c>
      <c r="BP158" s="123">
        <f>IFERROR(Table5[[#This Row],[Payment limit 2022Q3]]/Table5[[#This Row],[HCPCS code dosage 2022Q3]], "")</f>
        <v>32.909999999999997</v>
      </c>
      <c r="BQ158" s="146" t="s">
        <v>1319</v>
      </c>
      <c r="BR158" s="120">
        <v>1</v>
      </c>
      <c r="BS158" s="146" t="s">
        <v>1470</v>
      </c>
      <c r="BT158" s="146">
        <v>35.200000000000003</v>
      </c>
      <c r="BU158" s="146">
        <f>IFERROR(Table5[[#This Row],[Payment limit 2023Q1]]/Table5[[#This Row],[HCPCS code dosage 2023Q1]], "")</f>
        <v>35.200000000000003</v>
      </c>
      <c r="BV158" s="192"/>
    </row>
    <row r="159" spans="1:74" x14ac:dyDescent="0.3">
      <c r="A159" s="498" t="s">
        <v>134</v>
      </c>
      <c r="B159" s="499"/>
      <c r="C159" s="499"/>
      <c r="D159" s="502"/>
      <c r="E159" s="503" t="str">
        <f>IFERROR(VLOOKUP(Table5[[#This Row],[HCPCS code 2016 Q1]], ASP2016Q1[], 4, FALSE), "")</f>
        <v/>
      </c>
      <c r="F159" s="505" t="str">
        <f>IFERROR(Table5[[#This Row],[Payment Limit 2016Q1]]/Table5[[#This Row],[HCPCS code dosage 2016Q1]], "")</f>
        <v/>
      </c>
      <c r="G159" s="499"/>
      <c r="H159" s="499"/>
      <c r="I159" s="502"/>
      <c r="J159" s="503" t="str">
        <f>IFERROR(VLOOKUP(Table5[[#This Row],[HCPCS code 2016 Q3]], ASP2016Q3[], 4, FALSE), "")</f>
        <v/>
      </c>
      <c r="K159" s="505" t="str">
        <f>IFERROR(Table5[[#This Row],[Payment Limit 2016Q3]]/Table5[[#This Row],[HCPCS code dosage 2016Q3]], "")</f>
        <v/>
      </c>
      <c r="L159" s="499"/>
      <c r="M159" s="499"/>
      <c r="N159" s="502"/>
      <c r="O159" s="504" t="str">
        <f>IFERROR(VLOOKUP(Table5[[#This Row],[HCPCS code 2017 Q1]], ASP2017Q1[], 4, FALSE), "")</f>
        <v/>
      </c>
      <c r="P159" s="506" t="str">
        <f>IFERROR(Table5[[#This Row],[Payment Limit 2017Q1]]/Table5[[#This Row],[HCPCS code dosage 2017Q1]], "")</f>
        <v/>
      </c>
      <c r="Q159" s="277" t="s">
        <v>1321</v>
      </c>
      <c r="R159" s="277" t="s">
        <v>2434</v>
      </c>
      <c r="S159" s="277"/>
      <c r="T159" s="414" t="str">
        <f>IFERROR(VLOOKUP(Table5[[#This Row],[HCPCS code 2017 Q3]], ASP2017Q3[], 4, FALSE), "")</f>
        <v/>
      </c>
      <c r="U159" s="414" t="str">
        <f>IFERROR(Table5[[#This Row],[Payment Limit 2017Q3]]/Table5[[#This Row],[HCPCS code dosage 2017Q3]], "")</f>
        <v/>
      </c>
      <c r="V159" s="375"/>
      <c r="W159" s="377"/>
      <c r="X159" s="142"/>
      <c r="Y159" s="414"/>
      <c r="Z159" s="415"/>
      <c r="AA159" s="375"/>
      <c r="AB159" s="382"/>
      <c r="AC159" s="278"/>
      <c r="AD159" s="379"/>
      <c r="AE159" s="415"/>
      <c r="AF159" s="277" t="s">
        <v>1321</v>
      </c>
      <c r="AG159" s="159"/>
      <c r="AH159" s="119" t="s">
        <v>1321</v>
      </c>
      <c r="AI159" s="120" t="s">
        <v>1678</v>
      </c>
      <c r="AJ159" s="120" t="s">
        <v>1470</v>
      </c>
      <c r="AK159" s="116">
        <f>IFERROR(VLOOKUP(Table5[[#This Row],[HCPCS code 2019Q3]], ASP2019Q3[], 4, FALSE), "")</f>
        <v>420.42599999999999</v>
      </c>
      <c r="AL159" s="161">
        <f>IFERROR(Table5[[#This Row],[Payment Limit 2019Q3]]/Table5[[#This Row],[HCPCS code dosage 2019Q3]], "")</f>
        <v>28.028399999999998</v>
      </c>
      <c r="AM159" s="130" t="s">
        <v>1321</v>
      </c>
      <c r="AN159" s="130" t="s">
        <v>1678</v>
      </c>
      <c r="AO159" s="130" t="s">
        <v>1470</v>
      </c>
      <c r="AP159" s="126">
        <f>IFERROR(VLOOKUP(Table5[[#This Row],[HCPCS code 2020Q1]], ASP2020Q1[], 4, FALSE), "")</f>
        <v>412.00700000000001</v>
      </c>
      <c r="AQ159" s="141">
        <f>IFERROR(Table5[[#This Row],[Payment Limit 2020Q1]]/Table5[[#This Row],[HCPCS code dosage 2020Q1]], "")</f>
        <v>27.467133333333333</v>
      </c>
      <c r="AR159" s="133" t="s">
        <v>1321</v>
      </c>
      <c r="AS159" s="130" t="s">
        <v>1678</v>
      </c>
      <c r="AT159" s="130" t="s">
        <v>1470</v>
      </c>
      <c r="AU159" s="160">
        <f>IFERROR(VLOOKUP(Table5[[#This Row],[HCPCS code 2020Q3]], ASP2020Q3[], 4, FALSE), "")</f>
        <v>436.51299999999998</v>
      </c>
      <c r="AV159" s="161">
        <f>IFERROR(Table5[[#This Row],[Payment limit 2020Q3]]/Table5[[#This Row],[HCPCS code dosage 2020Q3]],"")</f>
        <v>29.100866666666665</v>
      </c>
      <c r="AW159" s="146" t="s">
        <v>1321</v>
      </c>
      <c r="AX159" s="120" t="s">
        <v>1678</v>
      </c>
      <c r="AY159" s="146" t="s">
        <v>1470</v>
      </c>
      <c r="AZ159" s="146">
        <f>IFERROR(VLOOKUP(Table5[[#This Row],[HCPCS code 2021Q1]], ASP2021Q1[], 4, FALSE), "")</f>
        <v>454.81700000000001</v>
      </c>
      <c r="BA159" s="146">
        <f>IFERROR(Table5[[#This Row],[Payment limit 2021Q1]]/Table5[[#This Row],[HCPCS code dosage 2021Q1]], "")</f>
        <v>30.321133333333332</v>
      </c>
      <c r="BB159" s="148" t="s">
        <v>1321</v>
      </c>
      <c r="BC159" s="120" t="s">
        <v>1678</v>
      </c>
      <c r="BD159" s="146" t="s">
        <v>1470</v>
      </c>
      <c r="BE159" s="146">
        <f>IFERROR(VLOOKUP(Table5[[#This Row],[HCPCS code 2021Q3]], ASP2021Q3[], 4, FALSE), "")</f>
        <v>453.46</v>
      </c>
      <c r="BF159" s="146">
        <f>IFERROR(Table5[[#This Row],[Payment limit 2021Q3]]/Table5[[#This Row],[HCPCS code dosage 2021Q3]], "")</f>
        <v>30.230666666666664</v>
      </c>
      <c r="BG159" s="148" t="s">
        <v>1321</v>
      </c>
      <c r="BH159" s="120" t="s">
        <v>1678</v>
      </c>
      <c r="BI159" s="146" t="s">
        <v>1470</v>
      </c>
      <c r="BJ159" s="146">
        <f>IFERROR(VLOOKUP(Table5[[#This Row],[HCPCS code 2022Q1]], ASP2022Q1[], 4, FALSE), "")</f>
        <v>305.44900000000001</v>
      </c>
      <c r="BK159" s="146">
        <f>IFERROR(Table5[[#This Row],[Payment limit 2022Q1]]/Table5[[#This Row],[HCPCS code dosage 2022Q1]], "")</f>
        <v>20.363266666666668</v>
      </c>
      <c r="BL159" s="146" t="s">
        <v>1321</v>
      </c>
      <c r="BM159" s="185">
        <v>15</v>
      </c>
      <c r="BN159" s="146" t="s">
        <v>1470</v>
      </c>
      <c r="BO159" s="146">
        <f>IFERROR(VLOOKUP(Table5[[#This Row],[HCPCS Code 2022Q3]], ASP2022Q3[], 4, FALSE), "")</f>
        <v>298.19099999999997</v>
      </c>
      <c r="BP159" s="123">
        <f>IFERROR(Table5[[#This Row],[Payment limit 2022Q3]]/Table5[[#This Row],[HCPCS code dosage 2022Q3]], "")</f>
        <v>19.879399999999997</v>
      </c>
      <c r="BQ159" s="146" t="s">
        <v>1321</v>
      </c>
      <c r="BR159" s="120">
        <v>15</v>
      </c>
      <c r="BS159" s="146" t="s">
        <v>1470</v>
      </c>
      <c r="BT159" s="146">
        <v>318.16899999999998</v>
      </c>
      <c r="BU159" s="146">
        <f>IFERROR(Table5[[#This Row],[Payment limit 2023Q1]]/Table5[[#This Row],[HCPCS code dosage 2023Q1]], "")</f>
        <v>21.211266666666667</v>
      </c>
      <c r="BV159" s="192"/>
    </row>
    <row r="160" spans="1:74" x14ac:dyDescent="0.3">
      <c r="A160" s="498" t="s">
        <v>115</v>
      </c>
      <c r="B160" s="286" t="s">
        <v>1323</v>
      </c>
      <c r="C160" s="286">
        <v>0.1</v>
      </c>
      <c r="D160" s="307" t="s">
        <v>1470</v>
      </c>
      <c r="E160" s="503">
        <f>IFERROR(VLOOKUP(Table5[[#This Row],[HCPCS code 2016 Q1]], ASP2016Q1[], 4, FALSE), "")</f>
        <v>2.004</v>
      </c>
      <c r="F160" s="505">
        <f>IFERROR(Table5[[#This Row],[Payment Limit 2016Q1]]/Table5[[#This Row],[HCPCS code dosage 2016Q1]], "")</f>
        <v>20.04</v>
      </c>
      <c r="G160" s="286" t="s">
        <v>1323</v>
      </c>
      <c r="H160" s="286">
        <v>0.1</v>
      </c>
      <c r="I160" s="307" t="s">
        <v>1470</v>
      </c>
      <c r="J160" s="503">
        <f>IFERROR(VLOOKUP(Table5[[#This Row],[HCPCS code 2016 Q3]], ASP2016Q3[], 4, FALSE), "")</f>
        <v>1.825</v>
      </c>
      <c r="K160" s="505">
        <f>IFERROR(Table5[[#This Row],[Payment Limit 2016Q3]]/Table5[[#This Row],[HCPCS code dosage 2016Q3]], "")</f>
        <v>18.25</v>
      </c>
      <c r="L160" s="499" t="s">
        <v>1323</v>
      </c>
      <c r="M160" s="499">
        <v>0.1</v>
      </c>
      <c r="N160" s="502" t="s">
        <v>1470</v>
      </c>
      <c r="O160" s="504">
        <f>IFERROR(VLOOKUP(Table5[[#This Row],[HCPCS code 2017 Q1]], ASP2017Q1[], 4, FALSE), "")</f>
        <v>1.071</v>
      </c>
      <c r="P160" s="506">
        <f>IFERROR(Table5[[#This Row],[Payment Limit 2017Q1]]/Table5[[#This Row],[HCPCS code dosage 2017Q1]], "")</f>
        <v>10.709999999999999</v>
      </c>
      <c r="Q160" s="277" t="s">
        <v>1323</v>
      </c>
      <c r="R160" s="277">
        <v>0.1</v>
      </c>
      <c r="S160" s="277" t="s">
        <v>1470</v>
      </c>
      <c r="T160" s="414">
        <f>IFERROR(VLOOKUP(Table5[[#This Row],[HCPCS code 2017 Q3]], ASP2017Q3[], 4, FALSE), "")</f>
        <v>1.0840000000000001</v>
      </c>
      <c r="U160" s="414">
        <f>IFERROR(Table5[[#This Row],[Payment Limit 2017Q3]]/Table5[[#This Row],[HCPCS code dosage 2017Q3]], "")</f>
        <v>10.84</v>
      </c>
      <c r="V160" s="375" t="s">
        <v>1323</v>
      </c>
      <c r="W160" s="377">
        <v>0.1</v>
      </c>
      <c r="X160" s="142" t="s">
        <v>1470</v>
      </c>
      <c r="Y160" s="414">
        <v>1.1539999999999999</v>
      </c>
      <c r="Z160" s="415">
        <f>IFERROR(Table5[[#This Row],[Payment Limit 2018 Q1]]/Table5[[#This Row],[HCPCS code dosage 2018 Q1]],"")</f>
        <v>11.54</v>
      </c>
      <c r="AA160" s="375" t="s">
        <v>1323</v>
      </c>
      <c r="AB160" s="382">
        <v>0.1</v>
      </c>
      <c r="AC160" s="278" t="s">
        <v>1470</v>
      </c>
      <c r="AD160" s="379">
        <v>1.036</v>
      </c>
      <c r="AE160" s="415">
        <f>IFERROR(Table5[[#This Row],[Payment Limit 2018 Q3]]/Table5[[#This Row],[HCPCS code dosage 2018 Q3]],"")</f>
        <v>10.36</v>
      </c>
      <c r="AF160" s="277" t="s">
        <v>1323</v>
      </c>
      <c r="AG160" s="159">
        <v>9.83</v>
      </c>
      <c r="AH160" s="119" t="s">
        <v>1323</v>
      </c>
      <c r="AI160" s="120" t="s">
        <v>1671</v>
      </c>
      <c r="AJ160" s="120" t="s">
        <v>1470</v>
      </c>
      <c r="AK160" s="116">
        <f>IFERROR(VLOOKUP(Table5[[#This Row],[HCPCS code 2019Q3]], ASP2019Q3[], 4, FALSE), "")</f>
        <v>1.014</v>
      </c>
      <c r="AL160" s="161">
        <f>IFERROR(Table5[[#This Row],[Payment Limit 2019Q3]]/Table5[[#This Row],[HCPCS code dosage 2019Q3]], "")</f>
        <v>10.139999999999999</v>
      </c>
      <c r="AM160" s="130" t="s">
        <v>1323</v>
      </c>
      <c r="AN160" s="130" t="s">
        <v>1671</v>
      </c>
      <c r="AO160" s="130" t="s">
        <v>1470</v>
      </c>
      <c r="AP160" s="126">
        <f>IFERROR(VLOOKUP(Table5[[#This Row],[HCPCS code 2020Q1]], ASP2020Q1[], 4, FALSE), "")</f>
        <v>0.97899999999999998</v>
      </c>
      <c r="AQ160" s="141">
        <f>IFERROR(Table5[[#This Row],[Payment Limit 2020Q1]]/Table5[[#This Row],[HCPCS code dosage 2020Q1]], "")</f>
        <v>9.7899999999999991</v>
      </c>
      <c r="AR160" s="133" t="s">
        <v>1323</v>
      </c>
      <c r="AS160" s="130" t="s">
        <v>1671</v>
      </c>
      <c r="AT160" s="130" t="s">
        <v>1470</v>
      </c>
      <c r="AU160" s="160">
        <f>IFERROR(VLOOKUP(Table5[[#This Row],[HCPCS code 2020Q3]], ASP2020Q3[], 4, FALSE), "")</f>
        <v>1.2110000000000001</v>
      </c>
      <c r="AV160" s="161">
        <f>IFERROR(Table5[[#This Row],[Payment limit 2020Q3]]/Table5[[#This Row],[HCPCS code dosage 2020Q3]],"")</f>
        <v>12.11</v>
      </c>
      <c r="AW160" s="146" t="s">
        <v>1323</v>
      </c>
      <c r="AX160" s="120" t="s">
        <v>1671</v>
      </c>
      <c r="AY160" s="146" t="s">
        <v>1470</v>
      </c>
      <c r="AZ160" s="146">
        <f>IFERROR(VLOOKUP(Table5[[#This Row],[HCPCS code 2021Q1]], ASP2021Q1[], 4, FALSE), "")</f>
        <v>1.1160000000000001</v>
      </c>
      <c r="BA160" s="146">
        <f>IFERROR(Table5[[#This Row],[Payment limit 2021Q1]]/Table5[[#This Row],[HCPCS code dosage 2021Q1]], "")</f>
        <v>11.16</v>
      </c>
      <c r="BB160" s="148" t="s">
        <v>1323</v>
      </c>
      <c r="BC160" s="120" t="s">
        <v>1671</v>
      </c>
      <c r="BD160" s="146" t="s">
        <v>1470</v>
      </c>
      <c r="BE160" s="146">
        <f>IFERROR(VLOOKUP(Table5[[#This Row],[HCPCS code 2021Q3]], ASP2021Q3[], 4, FALSE), "")</f>
        <v>1.0880000000000001</v>
      </c>
      <c r="BF160" s="146">
        <f>IFERROR(Table5[[#This Row],[Payment limit 2021Q3]]/Table5[[#This Row],[HCPCS code dosage 2021Q3]], "")</f>
        <v>10.88</v>
      </c>
      <c r="BG160" s="148" t="s">
        <v>1323</v>
      </c>
      <c r="BH160" s="120" t="s">
        <v>1671</v>
      </c>
      <c r="BI160" s="146" t="s">
        <v>1470</v>
      </c>
      <c r="BJ160" s="146">
        <f>IFERROR(VLOOKUP(Table5[[#This Row],[HCPCS code 2022Q1]], ASP2022Q1[], 4, FALSE), "")</f>
        <v>0.89900000000000002</v>
      </c>
      <c r="BK160" s="146">
        <f>IFERROR(Table5[[#This Row],[Payment limit 2022Q1]]/Table5[[#This Row],[HCPCS code dosage 2022Q1]], "")</f>
        <v>8.99</v>
      </c>
      <c r="BL160" s="146" t="s">
        <v>1323</v>
      </c>
      <c r="BM160" s="185">
        <v>0.1</v>
      </c>
      <c r="BN160" s="146" t="s">
        <v>1470</v>
      </c>
      <c r="BO160" s="146">
        <f>IFERROR(VLOOKUP(Table5[[#This Row],[HCPCS Code 2022Q3]], ASP2022Q3[], 4, FALSE), "")</f>
        <v>0.83099999999999996</v>
      </c>
      <c r="BP160" s="123">
        <f>IFERROR(Table5[[#This Row],[Payment limit 2022Q3]]/Table5[[#This Row],[HCPCS code dosage 2022Q3]], "")</f>
        <v>8.3099999999999987</v>
      </c>
      <c r="BQ160" s="146" t="s">
        <v>1323</v>
      </c>
      <c r="BR160" s="120">
        <v>0.1</v>
      </c>
      <c r="BS160" s="146" t="s">
        <v>1470</v>
      </c>
      <c r="BT160" s="146">
        <v>0.82399999999999995</v>
      </c>
      <c r="BU160" s="146">
        <f>IFERROR(Table5[[#This Row],[Payment limit 2023Q1]]/Table5[[#This Row],[HCPCS code dosage 2023Q1]], "")</f>
        <v>8.2399999999999984</v>
      </c>
      <c r="BV160" s="192"/>
    </row>
    <row r="161" spans="1:74" x14ac:dyDescent="0.3">
      <c r="A161" s="498" t="s">
        <v>118</v>
      </c>
      <c r="B161" s="286" t="s">
        <v>1325</v>
      </c>
      <c r="C161" s="286">
        <v>0.1</v>
      </c>
      <c r="D161" s="307" t="s">
        <v>1470</v>
      </c>
      <c r="E161" s="503" t="str">
        <f>IFERROR(VLOOKUP(Table5[[#This Row],[HCPCS code 2016 Q1]], ASP2016Q1[], 4, FALSE), "")</f>
        <v/>
      </c>
      <c r="F161" s="505" t="str">
        <f>IFERROR(Table5[[#This Row],[Payment Limit 2016Q1]]/Table5[[#This Row],[HCPCS code dosage 2016Q1]], "")</f>
        <v/>
      </c>
      <c r="G161" s="286" t="s">
        <v>1325</v>
      </c>
      <c r="H161" s="286">
        <v>0.1</v>
      </c>
      <c r="I161" s="307" t="s">
        <v>1470</v>
      </c>
      <c r="J161" s="503" t="str">
        <f>IFERROR(VLOOKUP(Table5[[#This Row],[HCPCS code 2016 Q3]], ASP2016Q3[], 4, FALSE), "")</f>
        <v/>
      </c>
      <c r="K161" s="505" t="str">
        <f>IFERROR(Table5[[#This Row],[Payment Limit 2016Q3]]/Table5[[#This Row],[HCPCS code dosage 2016Q3]], "")</f>
        <v/>
      </c>
      <c r="L161" s="499" t="s">
        <v>1325</v>
      </c>
      <c r="M161" s="499">
        <v>0.1</v>
      </c>
      <c r="N161" s="502" t="s">
        <v>1470</v>
      </c>
      <c r="O161" s="504">
        <f>IFERROR(VLOOKUP(Table5[[#This Row],[HCPCS code 2017 Q1]], ASP2017Q1[], 4, FALSE), "")</f>
        <v>283.33800000000002</v>
      </c>
      <c r="P161" s="506">
        <f>IFERROR(Table5[[#This Row],[Payment Limit 2017Q1]]/Table5[[#This Row],[HCPCS code dosage 2017Q1]], "")</f>
        <v>2833.38</v>
      </c>
      <c r="Q161" s="277" t="s">
        <v>1325</v>
      </c>
      <c r="R161" s="277">
        <v>0.1</v>
      </c>
      <c r="S161" s="277" t="s">
        <v>1470</v>
      </c>
      <c r="T161" s="414">
        <f>IFERROR(VLOOKUP(Table5[[#This Row],[HCPCS code 2017 Q3]], ASP2017Q3[], 4, FALSE), "")</f>
        <v>286.42500000000001</v>
      </c>
      <c r="U161" s="414">
        <f>IFERROR(Table5[[#This Row],[Payment Limit 2017Q3]]/Table5[[#This Row],[HCPCS code dosage 2017Q3]], "")</f>
        <v>2864.25</v>
      </c>
      <c r="V161" s="374" t="s">
        <v>1325</v>
      </c>
      <c r="W161" s="377">
        <v>0.1</v>
      </c>
      <c r="X161" s="142" t="s">
        <v>1470</v>
      </c>
      <c r="Y161" s="279">
        <v>290.64</v>
      </c>
      <c r="Z161" s="370">
        <f>IFERROR(Table5[[#This Row],[Payment Limit 2018 Q1]]/Table5[[#This Row],[HCPCS code dosage 2018 Q1]],"")</f>
        <v>2906.3999999999996</v>
      </c>
      <c r="AA161" s="376" t="s">
        <v>1325</v>
      </c>
      <c r="AB161" s="383">
        <v>0.1</v>
      </c>
      <c r="AC161" s="384" t="s">
        <v>1470</v>
      </c>
      <c r="AD161" s="380">
        <v>296.41899999999998</v>
      </c>
      <c r="AE161" s="515">
        <f>IFERROR(Table5[[#This Row],[Payment Limit 2018 Q3]]/Table5[[#This Row],[HCPCS code dosage 2018 Q3]],"")</f>
        <v>2964.1899999999996</v>
      </c>
      <c r="AF161" s="277" t="s">
        <v>1325</v>
      </c>
      <c r="AG161" s="159">
        <v>3006.2999999999997</v>
      </c>
      <c r="AH161" s="119" t="s">
        <v>1325</v>
      </c>
      <c r="AI161" s="120" t="s">
        <v>1671</v>
      </c>
      <c r="AJ161" s="120" t="s">
        <v>1470</v>
      </c>
      <c r="AK161" s="116">
        <f>IFERROR(VLOOKUP(Table5[[#This Row],[HCPCS code 2019Q3]], ASP2019Q3[], 4, FALSE), "")</f>
        <v>310.83699999999999</v>
      </c>
      <c r="AL161" s="161">
        <f>IFERROR(Table5[[#This Row],[Payment Limit 2019Q3]]/Table5[[#This Row],[HCPCS code dosage 2019Q3]], "")</f>
        <v>3108.37</v>
      </c>
      <c r="AM161" s="130" t="s">
        <v>1325</v>
      </c>
      <c r="AN161" s="130" t="s">
        <v>1671</v>
      </c>
      <c r="AO161" s="130" t="s">
        <v>1470</v>
      </c>
      <c r="AP161" s="126">
        <f>IFERROR(VLOOKUP(Table5[[#This Row],[HCPCS code 2020Q1]], ASP2020Q1[], 4, FALSE), "")</f>
        <v>312.93799999999999</v>
      </c>
      <c r="AQ161" s="141">
        <f>IFERROR(Table5[[#This Row],[Payment Limit 2020Q1]]/Table5[[#This Row],[HCPCS code dosage 2020Q1]], "")</f>
        <v>3129.3799999999997</v>
      </c>
      <c r="AR161" s="133" t="s">
        <v>1325</v>
      </c>
      <c r="AS161" s="130" t="s">
        <v>1671</v>
      </c>
      <c r="AT161" s="130" t="s">
        <v>1470</v>
      </c>
      <c r="AU161" s="160">
        <f>IFERROR(VLOOKUP(Table5[[#This Row],[HCPCS code 2020Q3]], ASP2020Q3[], 4, FALSE), "")</f>
        <v>317.91500000000002</v>
      </c>
      <c r="AV161" s="161">
        <f>IFERROR(Table5[[#This Row],[Payment limit 2020Q3]]/Table5[[#This Row],[HCPCS code dosage 2020Q3]],"")</f>
        <v>3179.15</v>
      </c>
      <c r="AW161" s="146" t="s">
        <v>1325</v>
      </c>
      <c r="AX161" s="120" t="s">
        <v>1671</v>
      </c>
      <c r="AY161" s="146" t="s">
        <v>1470</v>
      </c>
      <c r="AZ161" s="146">
        <f>IFERROR(VLOOKUP(Table5[[#This Row],[HCPCS code 2021Q1]], ASP2021Q1[], 4, FALSE), "")</f>
        <v>318.916</v>
      </c>
      <c r="BA161" s="146">
        <f>IFERROR(Table5[[#This Row],[Payment limit 2021Q1]]/Table5[[#This Row],[HCPCS code dosage 2021Q1]], "")</f>
        <v>3189.16</v>
      </c>
      <c r="BB161" s="148" t="s">
        <v>1325</v>
      </c>
      <c r="BC161" s="120" t="s">
        <v>1671</v>
      </c>
      <c r="BD161" s="146" t="s">
        <v>1470</v>
      </c>
      <c r="BE161" s="146">
        <f>IFERROR(VLOOKUP(Table5[[#This Row],[HCPCS code 2021Q3]], ASP2021Q3[], 4, FALSE), "")</f>
        <v>324.21199999999999</v>
      </c>
      <c r="BF161" s="146">
        <f>IFERROR(Table5[[#This Row],[Payment limit 2021Q3]]/Table5[[#This Row],[HCPCS code dosage 2021Q3]], "")</f>
        <v>3242.12</v>
      </c>
      <c r="BG161" s="148" t="s">
        <v>1325</v>
      </c>
      <c r="BH161" s="120" t="s">
        <v>1671</v>
      </c>
      <c r="BI161" s="146" t="s">
        <v>1470</v>
      </c>
      <c r="BJ161" s="146">
        <f>IFERROR(VLOOKUP(Table5[[#This Row],[HCPCS code 2022Q1]], ASP2022Q1[], 4, FALSE), "")</f>
        <v>325.029</v>
      </c>
      <c r="BK161" s="146">
        <f>IFERROR(Table5[[#This Row],[Payment limit 2022Q1]]/Table5[[#This Row],[HCPCS code dosage 2022Q1]], "")</f>
        <v>3250.29</v>
      </c>
      <c r="BL161" s="146" t="s">
        <v>1325</v>
      </c>
      <c r="BM161" s="185">
        <v>0.1</v>
      </c>
      <c r="BN161" s="146" t="s">
        <v>1470</v>
      </c>
      <c r="BO161" s="146">
        <f>IFERROR(VLOOKUP(Table5[[#This Row],[HCPCS Code 2022Q3]], ASP2022Q3[], 4, FALSE), "")</f>
        <v>330.17500000000001</v>
      </c>
      <c r="BP161" s="123">
        <f>IFERROR(Table5[[#This Row],[Payment limit 2022Q3]]/Table5[[#This Row],[HCPCS code dosage 2022Q3]], "")</f>
        <v>3301.75</v>
      </c>
      <c r="BQ161" s="146" t="s">
        <v>1325</v>
      </c>
      <c r="BR161" s="120">
        <v>0.1</v>
      </c>
      <c r="BS161" s="146" t="s">
        <v>1470</v>
      </c>
      <c r="BT161" s="146">
        <v>331.834</v>
      </c>
      <c r="BU161" s="146">
        <f>IFERROR(Table5[[#This Row],[Payment limit 2023Q1]]/Table5[[#This Row],[HCPCS code dosage 2023Q1]], "")</f>
        <v>3318.3399999999997</v>
      </c>
      <c r="BV161" s="192"/>
    </row>
    <row r="162" spans="1:74" x14ac:dyDescent="0.3">
      <c r="A162" s="62" t="s">
        <v>8</v>
      </c>
      <c r="B162" s="499" t="s">
        <v>1329</v>
      </c>
      <c r="C162" s="499">
        <v>10</v>
      </c>
      <c r="D162" s="502" t="s">
        <v>1470</v>
      </c>
      <c r="E162" s="503">
        <f>IFERROR(VLOOKUP(Table5[[#This Row],[HCPCS code 2016 Q1]], ASP2016Q1[], 4, FALSE), "")</f>
        <v>89.510999999999996</v>
      </c>
      <c r="F162" s="505">
        <f>IFERROR(Table5[[#This Row],[Payment Limit 2016Q1]]/Table5[[#This Row],[HCPCS code dosage 2016Q1]], "")</f>
        <v>8.9511000000000003</v>
      </c>
      <c r="G162" s="499" t="s">
        <v>1329</v>
      </c>
      <c r="H162" s="499">
        <v>10</v>
      </c>
      <c r="I162" s="502" t="s">
        <v>1470</v>
      </c>
      <c r="J162" s="503">
        <f>IFERROR(VLOOKUP(Table5[[#This Row],[HCPCS code 2016 Q3]], ASP2016Q3[], 4, FALSE), "")</f>
        <v>91.730999999999995</v>
      </c>
      <c r="K162" s="505">
        <f>IFERROR(Table5[[#This Row],[Payment Limit 2016Q3]]/Table5[[#This Row],[HCPCS code dosage 2016Q3]], "")</f>
        <v>9.1730999999999998</v>
      </c>
      <c r="L162" s="499" t="s">
        <v>1329</v>
      </c>
      <c r="M162" s="499">
        <v>10</v>
      </c>
      <c r="N162" s="502" t="s">
        <v>1470</v>
      </c>
      <c r="O162" s="504">
        <f>IFERROR(VLOOKUP(Table5[[#This Row],[HCPCS code 2017 Q1]], ASP2017Q1[], 4, FALSE), "")</f>
        <v>94.527000000000001</v>
      </c>
      <c r="P162" s="506">
        <f>IFERROR(Table5[[#This Row],[Payment Limit 2017Q1]]/Table5[[#This Row],[HCPCS code dosage 2017Q1]], "")</f>
        <v>9.4527000000000001</v>
      </c>
      <c r="Q162" s="277" t="s">
        <v>1329</v>
      </c>
      <c r="R162" s="277">
        <v>10</v>
      </c>
      <c r="S162" s="277" t="s">
        <v>1470</v>
      </c>
      <c r="T162" s="414">
        <f>IFERROR(VLOOKUP(Table5[[#This Row],[HCPCS code 2017 Q3]], ASP2017Q3[], 4, FALSE), "")</f>
        <v>96.631</v>
      </c>
      <c r="U162" s="415">
        <f>IFERROR(Table5[[#This Row],[Payment Limit 2017Q3]]/Table5[[#This Row],[HCPCS code dosage 2017Q3]], "")</f>
        <v>9.6631</v>
      </c>
      <c r="V162" s="375" t="s">
        <v>1329</v>
      </c>
      <c r="W162" s="413">
        <v>10</v>
      </c>
      <c r="X162" s="278" t="s">
        <v>1470</v>
      </c>
      <c r="Y162" s="414">
        <v>100.652</v>
      </c>
      <c r="Z162" s="415">
        <f>IFERROR(Table5[[#This Row],[Payment Limit 2018 Q1]]/Table5[[#This Row],[HCPCS code dosage 2018 Q1]],"")</f>
        <v>10.065200000000001</v>
      </c>
      <c r="AA162" s="375" t="s">
        <v>1329</v>
      </c>
      <c r="AB162" s="382">
        <v>10</v>
      </c>
      <c r="AC162" s="278" t="s">
        <v>1470</v>
      </c>
      <c r="AD162" s="379">
        <v>103.72799999999999</v>
      </c>
      <c r="AE162" s="414">
        <f>IFERROR(Table5[[#This Row],[Payment Limit 2018 Q3]]/Table5[[#This Row],[HCPCS code dosage 2018 Q3]],"")</f>
        <v>10.3728</v>
      </c>
      <c r="AF162" s="275" t="s">
        <v>1329</v>
      </c>
      <c r="AG162" s="195">
        <v>10.6995</v>
      </c>
      <c r="AH162" s="117" t="s">
        <v>1329</v>
      </c>
      <c r="AI162" s="118" t="s">
        <v>1664</v>
      </c>
      <c r="AJ162" s="118" t="s">
        <v>1470</v>
      </c>
      <c r="AK162" s="115">
        <f>IFERROR(VLOOKUP(Table5[[#This Row],[HCPCS code 2019Q3]], ASP2019Q3[], 4, FALSE), "")</f>
        <v>106.97499999999999</v>
      </c>
      <c r="AL162" s="140">
        <f>IFERROR(Table5[[#This Row],[Payment Limit 2019Q3]]/Table5[[#This Row],[HCPCS code dosage 2019Q3]], "")</f>
        <v>10.6975</v>
      </c>
      <c r="AM162" s="130" t="s">
        <v>1608</v>
      </c>
      <c r="AN162" s="130" t="s">
        <v>1664</v>
      </c>
      <c r="AO162" s="130" t="s">
        <v>1470</v>
      </c>
      <c r="AP162" s="126">
        <f>IFERROR(VLOOKUP(Table5[[#This Row],[HCPCS code 2020Q1]], ASP2020Q1[], 4, FALSE), "")</f>
        <v>90.670900000000003</v>
      </c>
      <c r="AQ162" s="141">
        <f>IFERROR(Table5[[#This Row],[Payment Limit 2020Q1]]/Table5[[#This Row],[HCPCS code dosage 2020Q1]], "")</f>
        <v>9.0670900000000003</v>
      </c>
      <c r="AR162" s="133" t="s">
        <v>1608</v>
      </c>
      <c r="AS162" s="130" t="s">
        <v>1664</v>
      </c>
      <c r="AT162" s="130" t="s">
        <v>1470</v>
      </c>
      <c r="AU162" s="132">
        <f>IFERROR(VLOOKUP(Table5[[#This Row],[HCPCS code 2020Q3]], ASP2020Q3[], 4, FALSE), "")</f>
        <v>80.915000000000006</v>
      </c>
      <c r="AV162" s="140">
        <f>IFERROR(Table5[[#This Row],[Payment limit 2020Q3]]/Table5[[#This Row],[HCPCS code dosage 2020Q3]],"")</f>
        <v>8.0914999999999999</v>
      </c>
      <c r="AW162" s="144" t="s">
        <v>1608</v>
      </c>
      <c r="AX162" s="118" t="s">
        <v>1664</v>
      </c>
      <c r="AY162" s="144" t="s">
        <v>1470</v>
      </c>
      <c r="AZ162" s="144">
        <f>IFERROR(VLOOKUP(Table5[[#This Row],[HCPCS code 2021Q1]], ASP2021Q1[], 4, FALSE), "")</f>
        <v>72.498999999999995</v>
      </c>
      <c r="BA162" s="144">
        <f>IFERROR(Table5[[#This Row],[Payment limit 2021Q1]]/Table5[[#This Row],[HCPCS code dosage 2021Q1]], "")</f>
        <v>7.2498999999999993</v>
      </c>
      <c r="BB162" s="147" t="s">
        <v>1608</v>
      </c>
      <c r="BC162" s="118" t="s">
        <v>1664</v>
      </c>
      <c r="BD162" s="144" t="s">
        <v>1470</v>
      </c>
      <c r="BE162" s="144">
        <f>IFERROR(VLOOKUP(Table5[[#This Row],[HCPCS code 2021Q3]], ASP2021Q3[], 4, FALSE), "")</f>
        <v>59.34</v>
      </c>
      <c r="BF162" s="144">
        <f>IFERROR(Table5[[#This Row],[Payment limit 2021Q3]]/Table5[[#This Row],[HCPCS code dosage 2021Q3]], "")</f>
        <v>5.9340000000000002</v>
      </c>
      <c r="BG162" s="147" t="s">
        <v>1608</v>
      </c>
      <c r="BH162" s="118" t="s">
        <v>1664</v>
      </c>
      <c r="BI162" s="144" t="s">
        <v>1470</v>
      </c>
      <c r="BJ162" s="144">
        <f>IFERROR(VLOOKUP(Table5[[#This Row],[HCPCS code 2022Q1]], ASP2022Q1[], 4, FALSE), "")</f>
        <v>47.408999999999999</v>
      </c>
      <c r="BK162" s="144">
        <f>IFERROR(Table5[[#This Row],[Payment limit 2022Q1]]/Table5[[#This Row],[HCPCS code dosage 2022Q1]], "")</f>
        <v>4.7408999999999999</v>
      </c>
      <c r="BL162" s="146" t="s">
        <v>1608</v>
      </c>
      <c r="BM162" s="185">
        <v>10</v>
      </c>
      <c r="BN162" s="146" t="s">
        <v>1470</v>
      </c>
      <c r="BO162" s="146">
        <f>IFERROR(VLOOKUP(Table5[[#This Row],[HCPCS Code 2022Q3]], ASP2022Q3[], 4, FALSE), "")</f>
        <v>38.491</v>
      </c>
      <c r="BP162" s="123">
        <f>IFERROR(Table5[[#This Row],[Payment limit 2022Q3]]/Table5[[#This Row],[HCPCS code dosage 2022Q3]], "")</f>
        <v>3.8491</v>
      </c>
      <c r="BQ162" s="146" t="s">
        <v>1608</v>
      </c>
      <c r="BR162" s="120">
        <v>10</v>
      </c>
      <c r="BS162" s="146" t="s">
        <v>1470</v>
      </c>
      <c r="BT162" s="146">
        <v>33.372999999999998</v>
      </c>
      <c r="BU162" s="146">
        <f>IFERROR(Table5[[#This Row],[Payment limit 2023Q1]]/Table5[[#This Row],[HCPCS code dosage 2023Q1]], "")</f>
        <v>3.3372999999999999</v>
      </c>
      <c r="BV162" s="196" t="s">
        <v>1832</v>
      </c>
    </row>
    <row r="163" spans="1:74" x14ac:dyDescent="0.3">
      <c r="A163" s="69" t="s">
        <v>1695</v>
      </c>
      <c r="B163" s="288" t="s">
        <v>898</v>
      </c>
      <c r="C163" s="288">
        <v>3.75</v>
      </c>
      <c r="D163" s="277" t="s">
        <v>1470</v>
      </c>
      <c r="E163" s="281">
        <f>IFERROR(VLOOKUP(Table5[[#This Row],[HCPCS code 2016 Q1]], ASP2016Q1[], 4, FALSE), "")</f>
        <v>238.97200000000001</v>
      </c>
      <c r="F163" s="306">
        <f>IFERROR(Table5[[#This Row],[Payment Limit 2016Q1]]/Table5[[#This Row],[HCPCS code dosage 2016Q1]], "")</f>
        <v>63.725866666666668</v>
      </c>
      <c r="G163" s="288" t="s">
        <v>898</v>
      </c>
      <c r="H163" s="288">
        <v>3.75</v>
      </c>
      <c r="I163" s="277" t="s">
        <v>1470</v>
      </c>
      <c r="J163" s="281">
        <f>IFERROR(VLOOKUP(Table5[[#This Row],[HCPCS code 2016 Q3]], ASP2016Q3[], 4, FALSE), "")</f>
        <v>392.05900000000003</v>
      </c>
      <c r="K163" s="306">
        <f>IFERROR(Table5[[#This Row],[Payment Limit 2016Q3]]/Table5[[#This Row],[HCPCS code dosage 2016Q3]], "")</f>
        <v>104.54906666666668</v>
      </c>
      <c r="L163" s="288" t="s">
        <v>898</v>
      </c>
      <c r="M163" s="288">
        <v>3.75</v>
      </c>
      <c r="N163" s="277" t="s">
        <v>1470</v>
      </c>
      <c r="O163" s="504">
        <f>IFERROR(VLOOKUP(Table5[[#This Row],[HCPCS code 2017 Q1]], ASP2017Q1[], 4, FALSE), "")</f>
        <v>402.37700000000001</v>
      </c>
      <c r="P163" s="506">
        <f>IFERROR(Table5[[#This Row],[Payment Limit 2017Q1]]/Table5[[#This Row],[HCPCS code dosage 2017Q1]], "")</f>
        <v>107.30053333333333</v>
      </c>
      <c r="Q163" s="277" t="s">
        <v>898</v>
      </c>
      <c r="R163" s="277">
        <v>3.75</v>
      </c>
      <c r="S163" s="277" t="s">
        <v>1470</v>
      </c>
      <c r="T163" s="281">
        <f>IFERROR(VLOOKUP(Table5[[#This Row],[HCPCS code 2017 Q3]], ASP2017Q3[], 4, FALSE), "")</f>
        <v>279.36</v>
      </c>
      <c r="U163" s="306">
        <f>IFERROR(Table5[[#This Row],[Payment Limit 2017Q3]]/Table5[[#This Row],[HCPCS code dosage 2017Q3]], "")</f>
        <v>74.496000000000009</v>
      </c>
      <c r="V163" s="375" t="s">
        <v>898</v>
      </c>
      <c r="W163" s="413">
        <v>3.75</v>
      </c>
      <c r="X163" s="278" t="s">
        <v>1470</v>
      </c>
      <c r="Y163" s="281">
        <v>415.779</v>
      </c>
      <c r="Z163" s="306">
        <f>IFERROR(Table5[[#This Row],[Payment Limit 2018 Q1]]/Table5[[#This Row],[HCPCS code dosage 2018 Q1]],"")</f>
        <v>110.87439999999999</v>
      </c>
      <c r="AA163" s="375" t="s">
        <v>898</v>
      </c>
      <c r="AB163" s="382">
        <v>3.75</v>
      </c>
      <c r="AC163" s="278" t="s">
        <v>1470</v>
      </c>
      <c r="AD163" s="379">
        <v>262.096</v>
      </c>
      <c r="AE163" s="281">
        <f>IFERROR(Table5[[#This Row],[Payment Limit 2018 Q3]]/Table5[[#This Row],[HCPCS code dosage 2018 Q3]],"")</f>
        <v>69.892266666666671</v>
      </c>
      <c r="AF163" s="273" t="s">
        <v>898</v>
      </c>
      <c r="AG163" s="195">
        <v>65.198666666666668</v>
      </c>
      <c r="AH163" s="117" t="s">
        <v>898</v>
      </c>
      <c r="AI163" s="118">
        <v>3.75</v>
      </c>
      <c r="AJ163" s="118" t="s">
        <v>1470</v>
      </c>
      <c r="AK163" s="115">
        <f>IFERROR(VLOOKUP(Table5[[#This Row],[HCPCS code 2019Q3]], ASP2019Q3[], 4, FALSE), "")</f>
        <v>248.39099999999999</v>
      </c>
      <c r="AL163" s="140">
        <f>IFERROR(Table5[[#This Row],[Payment Limit 2019Q3]]/Table5[[#This Row],[HCPCS code dosage 2019Q3]], "")</f>
        <v>66.2376</v>
      </c>
      <c r="AM163" s="130" t="s">
        <v>898</v>
      </c>
      <c r="AN163" s="130">
        <v>3.75</v>
      </c>
      <c r="AO163" s="130" t="s">
        <v>1470</v>
      </c>
      <c r="AP163" s="126">
        <f>IFERROR(VLOOKUP(Table5[[#This Row],[HCPCS code 2020Q1]], ASP2020Q1[], 4, FALSE), "")</f>
        <v>263.74299999999999</v>
      </c>
      <c r="AQ163" s="141">
        <f>IFERROR(Table5[[#This Row],[Payment Limit 2020Q1]]/Table5[[#This Row],[HCPCS code dosage 2020Q1]], "")</f>
        <v>70.331466666666671</v>
      </c>
      <c r="AR163" s="133" t="s">
        <v>898</v>
      </c>
      <c r="AS163" s="130">
        <v>3.75</v>
      </c>
      <c r="AT163" s="130" t="s">
        <v>1470</v>
      </c>
      <c r="AU163" s="132">
        <f>IFERROR(VLOOKUP(Table5[[#This Row],[HCPCS code 2020Q3]], ASP2020Q3[], 4, FALSE), "")</f>
        <v>282.63499999999999</v>
      </c>
      <c r="AV163" s="140">
        <f>IFERROR(Table5[[#This Row],[Payment limit 2020Q3]]/Table5[[#This Row],[HCPCS code dosage 2020Q3]],"")</f>
        <v>75.36933333333333</v>
      </c>
      <c r="AW163" s="144" t="s">
        <v>898</v>
      </c>
      <c r="AX163" s="118">
        <v>3.75</v>
      </c>
      <c r="AY163" s="144" t="s">
        <v>1470</v>
      </c>
      <c r="AZ163" s="144">
        <f>IFERROR(VLOOKUP(Table5[[#This Row],[HCPCS code 2021Q1]], ASP2021Q1[], 4, FALSE), "")</f>
        <v>503.80599999999998</v>
      </c>
      <c r="BA163" s="144">
        <f>IFERROR(Table5[[#This Row],[Payment limit 2021Q1]]/Table5[[#This Row],[HCPCS code dosage 2021Q1]], "")</f>
        <v>134.34826666666666</v>
      </c>
      <c r="BB163" s="147" t="s">
        <v>898</v>
      </c>
      <c r="BC163" s="118">
        <v>3.75</v>
      </c>
      <c r="BD163" s="144" t="s">
        <v>1470</v>
      </c>
      <c r="BE163" s="144">
        <f>IFERROR(VLOOKUP(Table5[[#This Row],[HCPCS code 2021Q3]], ASP2021Q3[], 4, FALSE), "")</f>
        <v>428.21800000000002</v>
      </c>
      <c r="BF163" s="144">
        <f>IFERROR(Table5[[#This Row],[Payment limit 2021Q3]]/Table5[[#This Row],[HCPCS code dosage 2021Q3]], "")</f>
        <v>114.19146666666667</v>
      </c>
      <c r="BG163" s="147" t="s">
        <v>898</v>
      </c>
      <c r="BH163" s="118">
        <v>3.75</v>
      </c>
      <c r="BI163" s="144" t="s">
        <v>1470</v>
      </c>
      <c r="BJ163" s="144">
        <f>IFERROR(VLOOKUP(Table5[[#This Row],[HCPCS code 2022Q1]], ASP2022Q1[], 4, FALSE), "")</f>
        <v>337.005</v>
      </c>
      <c r="BK163" s="144">
        <f>IFERROR(Table5[[#This Row],[Payment limit 2022Q1]]/Table5[[#This Row],[HCPCS code dosage 2022Q1]], "")</f>
        <v>89.867999999999995</v>
      </c>
      <c r="BL163" s="146" t="s">
        <v>898</v>
      </c>
      <c r="BM163" s="185">
        <v>3.75</v>
      </c>
      <c r="BN163" s="146" t="s">
        <v>1470</v>
      </c>
      <c r="BO163" s="146">
        <f>IFERROR(VLOOKUP(Table5[[#This Row],[HCPCS Code 2022Q3]], ASP2022Q3[], 4, FALSE), "")</f>
        <v>363.57100000000003</v>
      </c>
      <c r="BP163" s="123">
        <f>IFERROR(Table5[[#This Row],[Payment limit 2022Q3]]/Table5[[#This Row],[HCPCS code dosage 2022Q3]], "")</f>
        <v>96.952266666666674</v>
      </c>
      <c r="BQ163" s="146" t="s">
        <v>898</v>
      </c>
      <c r="BR163" s="120">
        <v>3.75</v>
      </c>
      <c r="BS163" s="146" t="s">
        <v>1470</v>
      </c>
      <c r="BT163" s="146">
        <v>374.54899999999998</v>
      </c>
      <c r="BU163" s="146">
        <f>IFERROR(Table5[[#This Row],[Payment limit 2023Q1]]/Table5[[#This Row],[HCPCS code dosage 2023Q1]], "")</f>
        <v>99.879733333333334</v>
      </c>
      <c r="BV163" s="196"/>
    </row>
    <row r="164" spans="1:74" x14ac:dyDescent="0.3">
      <c r="A164" s="62" t="s">
        <v>73</v>
      </c>
      <c r="B164" s="499" t="s">
        <v>1314</v>
      </c>
      <c r="C164" s="499">
        <v>1000000</v>
      </c>
      <c r="D164" s="502" t="s">
        <v>1661</v>
      </c>
      <c r="E164" s="504">
        <v>46.131</v>
      </c>
      <c r="F164" s="505">
        <f>IFERROR(Table5[[#This Row],[Payment Limit 2016Q1]]/Table5[[#This Row],[HCPCS code dosage 2016Q1]], "")</f>
        <v>4.6131000000000003E-5</v>
      </c>
      <c r="G164" s="499" t="s">
        <v>1314</v>
      </c>
      <c r="H164" s="499">
        <v>1000000</v>
      </c>
      <c r="I164" s="502" t="s">
        <v>1661</v>
      </c>
      <c r="J164" s="504">
        <v>46.131</v>
      </c>
      <c r="K164" s="505">
        <f>IFERROR(Table5[[#This Row],[Payment Limit 2016Q3]]/Table5[[#This Row],[HCPCS code dosage 2016Q3]], "")</f>
        <v>4.6131000000000003E-5</v>
      </c>
      <c r="L164" s="499" t="s">
        <v>1314</v>
      </c>
      <c r="M164" s="499">
        <v>1000000</v>
      </c>
      <c r="N164" s="502" t="s">
        <v>1661</v>
      </c>
      <c r="O164" s="504">
        <f>IFERROR(VLOOKUP(Table5[[#This Row],[HCPCS code 2017 Q1]], ASP2017Q1[], 4, FALSE), "")</f>
        <v>46.131</v>
      </c>
      <c r="P164" s="506">
        <f>IFERROR(Table5[[#This Row],[Payment Limit 2017Q1]]/Table5[[#This Row],[HCPCS code dosage 2017Q1]], "")</f>
        <v>4.6131000000000003E-5</v>
      </c>
      <c r="Q164" s="277" t="s">
        <v>1314</v>
      </c>
      <c r="R164" s="277">
        <v>1000000</v>
      </c>
      <c r="S164" s="277" t="s">
        <v>1661</v>
      </c>
      <c r="T164" s="414">
        <f>IFERROR(VLOOKUP(Table5[[#This Row],[HCPCS code 2017 Q3]], ASP2017Q3[], 4, FALSE), "")</f>
        <v>47.061</v>
      </c>
      <c r="U164" s="415">
        <f>IFERROR(Table5[[#This Row],[Payment Limit 2017Q3]]/Table5[[#This Row],[HCPCS code dosage 2017Q3]], "")</f>
        <v>4.7061000000000002E-5</v>
      </c>
      <c r="V164" s="375" t="s">
        <v>1314</v>
      </c>
      <c r="W164" s="413">
        <v>1000000</v>
      </c>
      <c r="X164" s="278" t="s">
        <v>1661</v>
      </c>
      <c r="Y164" s="414">
        <v>48.268000000000001</v>
      </c>
      <c r="Z164" s="415">
        <f>IFERROR(Table5[[#This Row],[Payment Limit 2018 Q1]]/Table5[[#This Row],[HCPCS code dosage 2018 Q1]],"")</f>
        <v>4.8267999999999999E-5</v>
      </c>
      <c r="AA164" s="375" t="s">
        <v>1314</v>
      </c>
      <c r="AB164" s="382">
        <v>1000000</v>
      </c>
      <c r="AC164" s="278" t="s">
        <v>1661</v>
      </c>
      <c r="AD164" s="379">
        <v>49.7</v>
      </c>
      <c r="AE164" s="414">
        <f>IFERROR(Table5[[#This Row],[Payment Limit 2018 Q3]]/Table5[[#This Row],[HCPCS code dosage 2018 Q3]],"")</f>
        <v>4.9700000000000002E-5</v>
      </c>
      <c r="AF164" s="275" t="s">
        <v>1314</v>
      </c>
      <c r="AG164" s="195">
        <v>5.0046999999999997E-5</v>
      </c>
      <c r="AH164" s="117" t="s">
        <v>1314</v>
      </c>
      <c r="AI164" s="118">
        <v>1000000</v>
      </c>
      <c r="AJ164" s="118" t="s">
        <v>1661</v>
      </c>
      <c r="AK164" s="115">
        <f>IFERROR(VLOOKUP(Table5[[#This Row],[HCPCS code 2019Q3]], ASP2019Q3[], 4, FALSE), "")</f>
        <v>51.097999999999999</v>
      </c>
      <c r="AL164" s="140">
        <f>IFERROR(Table5[[#This Row],[Payment Limit 2019Q3]]/Table5[[#This Row],[HCPCS code dosage 2019Q3]], "")</f>
        <v>5.1097999999999998E-5</v>
      </c>
      <c r="AM164" s="130" t="s">
        <v>1314</v>
      </c>
      <c r="AN164" s="130">
        <v>1000000</v>
      </c>
      <c r="AO164" s="130" t="s">
        <v>1661</v>
      </c>
      <c r="AP164" s="126">
        <f>IFERROR(VLOOKUP(Table5[[#This Row],[HCPCS code 2020Q1]], ASP2020Q1[], 4, FALSE), "")</f>
        <v>51.438000000000002</v>
      </c>
      <c r="AQ164" s="141">
        <f>IFERROR(Table5[[#This Row],[Payment Limit 2020Q1]]/Table5[[#This Row],[HCPCS code dosage 2020Q1]], "")</f>
        <v>5.1438000000000005E-5</v>
      </c>
      <c r="AR164" s="133" t="s">
        <v>1314</v>
      </c>
      <c r="AS164" s="130">
        <v>1000000</v>
      </c>
      <c r="AT164" s="130" t="s">
        <v>1661</v>
      </c>
      <c r="AU164" s="132">
        <f>IFERROR(VLOOKUP(Table5[[#This Row],[HCPCS code 2020Q3]], ASP2020Q3[], 4, FALSE), "")</f>
        <v>53.514000000000003</v>
      </c>
      <c r="AV164" s="140">
        <f>IFERROR(Table5[[#This Row],[Payment limit 2020Q3]]/Table5[[#This Row],[HCPCS code dosage 2020Q3]],"")</f>
        <v>5.3514000000000003E-5</v>
      </c>
      <c r="AW164" s="144" t="s">
        <v>1314</v>
      </c>
      <c r="AX164" s="118">
        <v>1000000</v>
      </c>
      <c r="AY164" s="144" t="s">
        <v>1661</v>
      </c>
      <c r="AZ164" s="144">
        <f>IFERROR(VLOOKUP(Table5[[#This Row],[HCPCS code 2021Q1]], ASP2021Q1[], 4, FALSE), "")</f>
        <v>54.017000000000003</v>
      </c>
      <c r="BA164" s="144">
        <f>IFERROR(Table5[[#This Row],[Payment limit 2021Q1]]/Table5[[#This Row],[HCPCS code dosage 2021Q1]], "")</f>
        <v>5.4017000000000001E-5</v>
      </c>
      <c r="BB164" s="147" t="s">
        <v>1314</v>
      </c>
      <c r="BC164" s="118">
        <v>1000000</v>
      </c>
      <c r="BD164" s="144" t="s">
        <v>1661</v>
      </c>
      <c r="BE164" s="144">
        <f>IFERROR(VLOOKUP(Table5[[#This Row],[HCPCS code 2021Q3]], ASP2021Q3[], 4, FALSE), "")</f>
        <v>56.514000000000003</v>
      </c>
      <c r="BF164" s="144">
        <f>IFERROR(Table5[[#This Row],[Payment limit 2021Q3]]/Table5[[#This Row],[HCPCS code dosage 2021Q3]], "")</f>
        <v>5.6514000000000001E-5</v>
      </c>
      <c r="BG164" s="147" t="s">
        <v>1314</v>
      </c>
      <c r="BH164" s="118">
        <v>1000000</v>
      </c>
      <c r="BI164" s="144" t="s">
        <v>1661</v>
      </c>
      <c r="BJ164" s="144">
        <f>IFERROR(VLOOKUP(Table5[[#This Row],[HCPCS code 2022Q1]], ASP2022Q1[], 4, FALSE), "")</f>
        <v>57.216999999999999</v>
      </c>
      <c r="BK164" s="144">
        <f>IFERROR(Table5[[#This Row],[Payment limit 2022Q1]]/Table5[[#This Row],[HCPCS code dosage 2022Q1]], "")</f>
        <v>5.7216999999999998E-5</v>
      </c>
      <c r="BL164" s="146" t="s">
        <v>1314</v>
      </c>
      <c r="BM164" s="185" t="s">
        <v>2132</v>
      </c>
      <c r="BN164" s="146" t="s">
        <v>1661</v>
      </c>
      <c r="BO164" s="146">
        <f>IFERROR(VLOOKUP(Table5[[#This Row],[HCPCS Code 2022Q3]], ASP2022Q3[], 4, FALSE), "")</f>
        <v>59.677999999999997</v>
      </c>
      <c r="BP164" s="123" t="str">
        <f>IFERROR(Table5[[#This Row],[Payment limit 2022Q3]]/Table5[[#This Row],[HCPCS code dosage 2022Q3]], "")</f>
        <v/>
      </c>
      <c r="BQ164" s="146" t="s">
        <v>1314</v>
      </c>
      <c r="BR164" s="120">
        <v>1000000</v>
      </c>
      <c r="BS164" s="146" t="s">
        <v>1661</v>
      </c>
      <c r="BT164" s="146">
        <v>62.677999999999997</v>
      </c>
      <c r="BU164" s="146">
        <f>IFERROR(Table5[[#This Row],[Payment limit 2023Q1]]/Table5[[#This Row],[HCPCS code dosage 2023Q1]], "")</f>
        <v>6.2677999999999999E-5</v>
      </c>
      <c r="BV164" s="196"/>
    </row>
    <row r="165" spans="1:74" x14ac:dyDescent="0.3">
      <c r="A165" s="69" t="s">
        <v>2750</v>
      </c>
      <c r="B165" s="411"/>
      <c r="C165" s="411"/>
      <c r="D165" s="412"/>
      <c r="E165" s="281" t="str">
        <f>IFERROR(VLOOKUP(Table5[[#This Row],[HCPCS code 2016 Q1]], ASP2016Q1[], 4, FALSE), "")</f>
        <v/>
      </c>
      <c r="F165" s="306" t="str">
        <f>IFERROR(Table5[[#This Row],[Payment Limit 2016Q1]]/Table5[[#This Row],[HCPCS code dosage 2016Q1]], "")</f>
        <v/>
      </c>
      <c r="G165" s="411"/>
      <c r="H165" s="411"/>
      <c r="I165" s="412"/>
      <c r="J165" s="281" t="str">
        <f>IFERROR(VLOOKUP(Table5[[#This Row],[HCPCS code 2016 Q3]], ASP2016Q3[], 4, FALSE), "")</f>
        <v/>
      </c>
      <c r="K165" s="306" t="str">
        <f>IFERROR(Table5[[#This Row],[Payment Limit 2016Q3]]/Table5[[#This Row],[HCPCS code dosage 2016Q3]], "")</f>
        <v/>
      </c>
      <c r="L165" s="288"/>
      <c r="M165" s="288"/>
      <c r="N165" s="277"/>
      <c r="O165" s="281" t="str">
        <f>IFERROR(VLOOKUP(Table5[[#This Row],[HCPCS code 2017 Q1]], ASP2017Q1[], 4, FALSE), "")</f>
        <v/>
      </c>
      <c r="P165" s="306" t="str">
        <f>IFERROR(Table5[[#This Row],[Payment Limit 2017Q1]]/Table5[[#This Row],[HCPCS code dosage 2017Q1]], "")</f>
        <v/>
      </c>
      <c r="Q165" s="278"/>
      <c r="R165" s="276"/>
      <c r="S165" s="276"/>
      <c r="T165" s="281" t="str">
        <f>IFERROR(VLOOKUP(Table5[[#This Row],[HCPCS code 2017 Q3]], ASP2017Q3[], 4, FALSE), "")</f>
        <v/>
      </c>
      <c r="U165" s="306" t="str">
        <f>IFERROR(Table5[[#This Row],[Payment Limit 2017Q3]]/Table5[[#This Row],[HCPCS code dosage 2017Q3]], "")</f>
        <v/>
      </c>
      <c r="V165" s="375"/>
      <c r="W165" s="413"/>
      <c r="X165" s="278"/>
      <c r="Y165" s="414"/>
      <c r="Z165" s="415" t="str">
        <f>IFERROR(Table5[[#This Row],[Payment Limit 2018 Q1]]/Table5[[#This Row],[HCPCS code dosage 2018 Q1]],"")</f>
        <v/>
      </c>
      <c r="AA165" s="375"/>
      <c r="AB165" s="382"/>
      <c r="AC165" s="278"/>
      <c r="AD165" s="379"/>
      <c r="AE165" s="281" t="str">
        <f>IFERROR(Table5[[#This Row],[Payment Limit 2018 Q3]]/Table5[[#This Row],[HCPCS code dosage 2018 Q3]],"")</f>
        <v/>
      </c>
      <c r="AF165" s="416"/>
      <c r="AG165" s="195"/>
      <c r="AH165" s="117" t="s">
        <v>1443</v>
      </c>
      <c r="AI165" s="118">
        <v>0.5</v>
      </c>
      <c r="AJ165" s="118" t="s">
        <v>1470</v>
      </c>
      <c r="AK165" s="132">
        <f>IFERROR(VLOOKUP(Table5[[#This Row],[HCPCS code 2019Q3]], ASP2019Q3[], 4, FALSE), "")</f>
        <v>359.20699999999999</v>
      </c>
      <c r="AL165" s="140">
        <f>IFERROR(Table5[[#This Row],[Payment Limit 2019Q3]]/Table5[[#This Row],[HCPCS code dosage 2019Q3]], "")</f>
        <v>718.41399999999999</v>
      </c>
      <c r="AM165" s="130" t="s">
        <v>1443</v>
      </c>
      <c r="AN165" s="130">
        <v>0.5</v>
      </c>
      <c r="AO165" s="130" t="s">
        <v>1470</v>
      </c>
      <c r="AP165" s="126">
        <f>IFERROR(VLOOKUP(Table5[[#This Row],[HCPCS code 2020Q1]], ASP2020Q1[], 4, FALSE), "")</f>
        <v>336.52039740828235</v>
      </c>
      <c r="AQ165" s="141">
        <f>IFERROR(Table5[[#This Row],[Payment Limit 2020Q1]]/Table5[[#This Row],[HCPCS code dosage 2020Q1]], "")</f>
        <v>673.0407948165647</v>
      </c>
      <c r="AR165" s="133" t="s">
        <v>1443</v>
      </c>
      <c r="AS165" s="130">
        <v>0.5</v>
      </c>
      <c r="AT165" s="130" t="s">
        <v>1470</v>
      </c>
      <c r="AU165" s="132">
        <f>IFERROR(VLOOKUP(Table5[[#This Row],[HCPCS code 2020Q3]], ASP2020Q3[], 4, FALSE), "")</f>
        <v>301.798</v>
      </c>
      <c r="AV165" s="140">
        <f>IFERROR(Table5[[#This Row],[Payment limit 2020Q3]]/Table5[[#This Row],[HCPCS code dosage 2020Q3]],"")</f>
        <v>603.596</v>
      </c>
      <c r="AW165" s="144" t="s">
        <v>1443</v>
      </c>
      <c r="AX165" s="118">
        <v>0.5</v>
      </c>
      <c r="AY165" s="144" t="s">
        <v>1470</v>
      </c>
      <c r="AZ165" s="144">
        <f>IFERROR(VLOOKUP(Table5[[#This Row],[HCPCS code 2021Q1]], ASP2021Q1[], 4, FALSE), "")</f>
        <v>267.786</v>
      </c>
      <c r="BA165" s="144">
        <f>IFERROR(Table5[[#This Row],[Payment limit 2021Q1]]/Table5[[#This Row],[HCPCS code dosage 2021Q1]], "")</f>
        <v>535.572</v>
      </c>
      <c r="BB165" s="147" t="s">
        <v>1443</v>
      </c>
      <c r="BC165" s="118">
        <v>0.5</v>
      </c>
      <c r="BD165" s="144" t="s">
        <v>1470</v>
      </c>
      <c r="BE165" s="144">
        <f>IFERROR(VLOOKUP(Table5[[#This Row],[HCPCS code 2021Q3]], ASP2021Q3[], 4, FALSE), "")</f>
        <v>251.73599999999999</v>
      </c>
      <c r="BF165" s="144">
        <f>IFERROR(Table5[[#This Row],[Payment limit 2021Q3]]/Table5[[#This Row],[HCPCS code dosage 2021Q3]], "")</f>
        <v>503.47199999999998</v>
      </c>
      <c r="BG165" s="147" t="s">
        <v>1443</v>
      </c>
      <c r="BH165" s="118">
        <v>0.5</v>
      </c>
      <c r="BI165" s="144" t="s">
        <v>1470</v>
      </c>
      <c r="BJ165" s="144">
        <f>IFERROR(VLOOKUP(Table5[[#This Row],[HCPCS code 2022Q1]], ASP2022Q1[], 4, FALSE), "")</f>
        <v>202.09899999999999</v>
      </c>
      <c r="BK165" s="144">
        <f>IFERROR(Table5[[#This Row],[Payment limit 2022Q1]]/Table5[[#This Row],[HCPCS code dosage 2022Q1]], "")</f>
        <v>404.19799999999998</v>
      </c>
      <c r="BL165" s="146" t="s">
        <v>1443</v>
      </c>
      <c r="BM165" s="185">
        <v>0.5</v>
      </c>
      <c r="BN165" s="146" t="s">
        <v>1470</v>
      </c>
      <c r="BO165" s="146">
        <f>IFERROR(VLOOKUP(Table5[[#This Row],[HCPCS Code 2022Q3]], ASP2022Q3[], 4, FALSE), "")</f>
        <v>171.869</v>
      </c>
      <c r="BP165" s="123">
        <f>IFERROR(Table5[[#This Row],[Payment limit 2022Q3]]/Table5[[#This Row],[HCPCS code dosage 2022Q3]], "")</f>
        <v>343.738</v>
      </c>
      <c r="BQ165" s="146"/>
      <c r="BR165" s="242"/>
      <c r="BS165" s="146"/>
      <c r="BT165" s="146"/>
      <c r="BU165" s="146" t="str">
        <f>IFERROR(Table5[[#This Row],[Payment limit 2023Q1]]/Table5[[#This Row],[HCPCS code dosage 2023Q1]], "")</f>
        <v/>
      </c>
      <c r="BV165" s="196"/>
    </row>
    <row r="166" spans="1:74" x14ac:dyDescent="0.3">
      <c r="A166" s="69" t="s">
        <v>2164</v>
      </c>
      <c r="B166" s="288"/>
      <c r="C166" s="288"/>
      <c r="D166" s="277"/>
      <c r="E166" s="281" t="str">
        <f>IFERROR(VLOOKUP(Table5[[#This Row],[HCPCS code 2016 Q1]], ASP2016Q1[], 4, FALSE), "")</f>
        <v/>
      </c>
      <c r="F166" s="306" t="str">
        <f>IFERROR(Table5[[#This Row],[Payment Limit 2016Q1]]/Table5[[#This Row],[HCPCS code dosage 2016Q1]], "")</f>
        <v/>
      </c>
      <c r="G166" s="288"/>
      <c r="H166" s="288"/>
      <c r="I166" s="277"/>
      <c r="J166" s="281" t="str">
        <f>IFERROR(VLOOKUP(Table5[[#This Row],[HCPCS code 2016 Q3]], ASP2016Q3[], 4, FALSE), "")</f>
        <v/>
      </c>
      <c r="K166" s="306" t="str">
        <f>IFERROR(Table5[[#This Row],[Payment Limit 2016Q3]]/Table5[[#This Row],[HCPCS code dosage 2016Q3]], "")</f>
        <v/>
      </c>
      <c r="L166" s="288"/>
      <c r="M166" s="288"/>
      <c r="N166" s="277"/>
      <c r="O166" s="504" t="str">
        <f>IFERROR(VLOOKUP(Table5[[#This Row],[HCPCS code 2017 Q1]], ASP2017Q1[], 4, FALSE), "")</f>
        <v/>
      </c>
      <c r="P166" s="506" t="str">
        <f>IFERROR(Table5[[#This Row],[Payment Limit 2017Q1]]/Table5[[#This Row],[HCPCS code dosage 2017Q1]], "")</f>
        <v/>
      </c>
      <c r="Q166" s="276"/>
      <c r="R166" s="278" t="s">
        <v>2434</v>
      </c>
      <c r="S166" s="276"/>
      <c r="T166" s="281" t="str">
        <f>IFERROR(VLOOKUP(Table5[[#This Row],[HCPCS code 2017 Q3]], ASP2017Q3[], 4, FALSE), "")</f>
        <v/>
      </c>
      <c r="U166" s="306" t="str">
        <f>IFERROR(Table5[[#This Row],[Payment Limit 2017Q3]]/Table5[[#This Row],[HCPCS code dosage 2017Q3]], "")</f>
        <v/>
      </c>
      <c r="V166" s="375"/>
      <c r="W166" s="413"/>
      <c r="X166" s="278"/>
      <c r="Y166" s="281"/>
      <c r="Z166" s="306"/>
      <c r="AA166" s="375"/>
      <c r="AB166" s="382"/>
      <c r="AC166" s="278"/>
      <c r="AD166" s="379"/>
      <c r="AE166" s="281"/>
      <c r="AF166" s="416"/>
      <c r="AG166" s="195"/>
      <c r="AH166" s="117"/>
      <c r="AI166" s="118"/>
      <c r="AJ166" s="118"/>
      <c r="AK166" s="132" t="str">
        <f>IFERROR(VLOOKUP(Table5[[#This Row],[HCPCS code 2019Q3]], ASP2019Q3[], 4, FALSE), "")</f>
        <v/>
      </c>
      <c r="AL166" s="140" t="str">
        <f>IFERROR(Table5[[#This Row],[Payment Limit 2019Q3]]/Table5[[#This Row],[HCPCS code dosage 2019Q3]], "")</f>
        <v/>
      </c>
      <c r="AM166" s="130"/>
      <c r="AN166" s="130"/>
      <c r="AO166" s="130"/>
      <c r="AP166" s="126" t="str">
        <f>IFERROR(VLOOKUP(Table5[[#This Row],[HCPCS code 2020Q1]], ASP2020Q1[], 4, FALSE), "")</f>
        <v/>
      </c>
      <c r="AQ166" s="141" t="str">
        <f>IFERROR(Table5[[#This Row],[Payment Limit 2020Q1]]/Table5[[#This Row],[HCPCS code dosage 2020Q1]], "")</f>
        <v/>
      </c>
      <c r="AR166" s="133"/>
      <c r="AS166" s="130"/>
      <c r="AT166" s="130"/>
      <c r="AU166" s="132" t="str">
        <f>IFERROR(VLOOKUP(Table5[[#This Row],[HCPCS code 2020Q3]], ASP2020Q3[], 4, FALSE), "")</f>
        <v/>
      </c>
      <c r="AV166" s="140" t="str">
        <f>IFERROR(Table5[[#This Row],[Payment limit 2020Q3]]/Table5[[#This Row],[HCPCS code dosage 2020Q3]],"")</f>
        <v/>
      </c>
      <c r="AW166" s="144"/>
      <c r="AX166" s="118"/>
      <c r="AY166" s="144"/>
      <c r="AZ166" s="144" t="str">
        <f>IFERROR(VLOOKUP(Table5[[#This Row],[HCPCS code 2021Q1]], ASP2021Q1[], 4, FALSE), "")</f>
        <v/>
      </c>
      <c r="BA166" s="144" t="str">
        <f>IFERROR(Table5[[#This Row],[Payment limit 2021Q1]]/Table5[[#This Row],[HCPCS code dosage 2021Q1]], "")</f>
        <v/>
      </c>
      <c r="BB166" s="147" t="s">
        <v>1333</v>
      </c>
      <c r="BC166" s="118">
        <v>200</v>
      </c>
      <c r="BD166" s="144" t="s">
        <v>1470</v>
      </c>
      <c r="BE166" s="144">
        <f>IFERROR(VLOOKUP(Table5[[#This Row],[HCPCS code 2021Q3]], ASP2021Q3[], 4, FALSE), "")</f>
        <v>1382.424</v>
      </c>
      <c r="BF166" s="144">
        <f>IFERROR(Table5[[#This Row],[Payment limit 2021Q3]]/Table5[[#This Row],[HCPCS code dosage 2021Q3]], "")</f>
        <v>6.9121199999999998</v>
      </c>
      <c r="BG166" s="147" t="s">
        <v>1333</v>
      </c>
      <c r="BH166" s="118">
        <v>200</v>
      </c>
      <c r="BI166" s="144" t="s">
        <v>1470</v>
      </c>
      <c r="BJ166" s="144">
        <f>IFERROR(VLOOKUP(Table5[[#This Row],[HCPCS code 2022Q1]], ASP2022Q1[], 4, FALSE), "")</f>
        <v>1435.6579999999999</v>
      </c>
      <c r="BK166" s="144">
        <f>IFERROR(Table5[[#This Row],[Payment limit 2022Q1]]/Table5[[#This Row],[HCPCS code dosage 2022Q1]], "")</f>
        <v>7.1782899999999996</v>
      </c>
      <c r="BL166" s="146"/>
      <c r="BM166" s="185"/>
      <c r="BN166" s="146"/>
      <c r="BO166" s="146" t="str">
        <f>IFERROR(VLOOKUP(Table5[[#This Row],[HCPCS Code 2022Q3]], ASP2022Q3[], 4, FALSE), "")</f>
        <v/>
      </c>
      <c r="BP166" s="123" t="str">
        <f>IFERROR(Table5[[#This Row],[Payment limit 2022Q3]]/Table5[[#This Row],[HCPCS code dosage 2022Q3]], "")</f>
        <v/>
      </c>
      <c r="BQ166" s="146"/>
      <c r="BR166" s="242"/>
      <c r="BS166" s="146"/>
      <c r="BT166" s="146" t="s">
        <v>2365</v>
      </c>
      <c r="BU166" s="146" t="str">
        <f>IFERROR(Table5[[#This Row],[Payment limit 2023Q1]]/Table5[[#This Row],[HCPCS code dosage 2023Q1]], "")</f>
        <v/>
      </c>
      <c r="BV166" s="196"/>
    </row>
    <row r="167" spans="1:74" x14ac:dyDescent="0.3">
      <c r="A167" s="62" t="s">
        <v>154</v>
      </c>
      <c r="B167" s="499" t="s">
        <v>1335</v>
      </c>
      <c r="C167" s="499">
        <v>1</v>
      </c>
      <c r="D167" s="502" t="s">
        <v>1470</v>
      </c>
      <c r="E167" s="503">
        <f>IFERROR(VLOOKUP(Table5[[#This Row],[HCPCS code 2016 Q1]], ASP2016Q1[], 4, FALSE), "")</f>
        <v>2.9849999999999999</v>
      </c>
      <c r="F167" s="505">
        <f>IFERROR(Table5[[#This Row],[Payment Limit 2016Q1]]/Table5[[#This Row],[HCPCS code dosage 2016Q1]], "")</f>
        <v>2.9849999999999999</v>
      </c>
      <c r="G167" s="499" t="s">
        <v>1335</v>
      </c>
      <c r="H167" s="499">
        <v>1</v>
      </c>
      <c r="I167" s="502" t="s">
        <v>1470</v>
      </c>
      <c r="J167" s="503">
        <f>IFERROR(VLOOKUP(Table5[[#This Row],[HCPCS code 2016 Q3]], ASP2016Q3[], 4, FALSE), "")</f>
        <v>3.1070000000000002</v>
      </c>
      <c r="K167" s="505">
        <f>IFERROR(Table5[[#This Row],[Payment Limit 2016Q3]]/Table5[[#This Row],[HCPCS code dosage 2016Q3]], "")</f>
        <v>3.1070000000000002</v>
      </c>
      <c r="L167" s="499" t="s">
        <v>1335</v>
      </c>
      <c r="M167" s="499">
        <v>1</v>
      </c>
      <c r="N167" s="502" t="s">
        <v>1470</v>
      </c>
      <c r="O167" s="504">
        <f>IFERROR(VLOOKUP(Table5[[#This Row],[HCPCS code 2017 Q1]], ASP2017Q1[], 4, FALSE), "")</f>
        <v>3.7389999999999999</v>
      </c>
      <c r="P167" s="506">
        <f>IFERROR(Table5[[#This Row],[Payment Limit 2017Q1]]/Table5[[#This Row],[HCPCS code dosage 2017Q1]], "")</f>
        <v>3.7389999999999999</v>
      </c>
      <c r="Q167" s="277" t="s">
        <v>1335</v>
      </c>
      <c r="R167" s="277">
        <v>1</v>
      </c>
      <c r="S167" s="277" t="s">
        <v>1470</v>
      </c>
      <c r="T167" s="414">
        <f>IFERROR(VLOOKUP(Table5[[#This Row],[HCPCS code 2017 Q3]], ASP2017Q3[], 4, FALSE), "")</f>
        <v>3.4809999999999999</v>
      </c>
      <c r="U167" s="415">
        <f>IFERROR(Table5[[#This Row],[Payment Limit 2017Q3]]/Table5[[#This Row],[HCPCS code dosage 2017Q3]], "")</f>
        <v>3.4809999999999999</v>
      </c>
      <c r="V167" s="375" t="s">
        <v>1335</v>
      </c>
      <c r="W167" s="413">
        <v>1</v>
      </c>
      <c r="X167" s="278" t="s">
        <v>1470</v>
      </c>
      <c r="Y167" s="414">
        <v>3.407</v>
      </c>
      <c r="Z167" s="415">
        <f>IFERROR(Table5[[#This Row],[Payment Limit 2018 Q1]]/Table5[[#This Row],[HCPCS code dosage 2018 Q1]],"")</f>
        <v>3.407</v>
      </c>
      <c r="AA167" s="375" t="s">
        <v>1335</v>
      </c>
      <c r="AB167" s="382">
        <v>1</v>
      </c>
      <c r="AC167" s="278" t="s">
        <v>1470</v>
      </c>
      <c r="AD167" s="379">
        <v>3.8090000000000002</v>
      </c>
      <c r="AE167" s="414">
        <f>IFERROR(Table5[[#This Row],[Payment Limit 2018 Q3]]/Table5[[#This Row],[HCPCS code dosage 2018 Q3]],"")</f>
        <v>3.8090000000000002</v>
      </c>
      <c r="AF167" s="275" t="s">
        <v>1335</v>
      </c>
      <c r="AG167" s="195">
        <v>3.6869999999999998</v>
      </c>
      <c r="AH167" s="117" t="s">
        <v>1335</v>
      </c>
      <c r="AI167" s="118" t="s">
        <v>1665</v>
      </c>
      <c r="AJ167" s="118" t="s">
        <v>1470</v>
      </c>
      <c r="AK167" s="115">
        <f>IFERROR(VLOOKUP(Table5[[#This Row],[HCPCS code 2019Q3]], ASP2019Q3[], 4, FALSE), "")</f>
        <v>3.0950000000000002</v>
      </c>
      <c r="AL167" s="140">
        <f>IFERROR(Table5[[#This Row],[Payment Limit 2019Q3]]/Table5[[#This Row],[HCPCS code dosage 2019Q3]], "")</f>
        <v>3.0950000000000002</v>
      </c>
      <c r="AM167" s="130" t="s">
        <v>1335</v>
      </c>
      <c r="AN167" s="130" t="s">
        <v>1665</v>
      </c>
      <c r="AO167" s="130" t="s">
        <v>1470</v>
      </c>
      <c r="AP167" s="126">
        <f>IFERROR(VLOOKUP(Table5[[#This Row],[HCPCS code 2020Q1]], ASP2020Q1[], 4, FALSE), "")</f>
        <v>3.8849999999999998</v>
      </c>
      <c r="AQ167" s="141">
        <f>IFERROR(Table5[[#This Row],[Payment Limit 2020Q1]]/Table5[[#This Row],[HCPCS code dosage 2020Q1]], "")</f>
        <v>3.8849999999999998</v>
      </c>
      <c r="AR167" s="133" t="s">
        <v>1335</v>
      </c>
      <c r="AS167" s="130" t="s">
        <v>1665</v>
      </c>
      <c r="AT167" s="130" t="s">
        <v>1470</v>
      </c>
      <c r="AU167" s="132">
        <f>IFERROR(VLOOKUP(Table5[[#This Row],[HCPCS code 2020Q3]], ASP2020Q3[], 4, FALSE), "")</f>
        <v>3.9740000000000002</v>
      </c>
      <c r="AV167" s="140">
        <f>IFERROR(Table5[[#This Row],[Payment limit 2020Q3]]/Table5[[#This Row],[HCPCS code dosage 2020Q3]],"")</f>
        <v>3.9740000000000002</v>
      </c>
      <c r="AW167" s="144" t="s">
        <v>1335</v>
      </c>
      <c r="AX167" s="118" t="s">
        <v>1665</v>
      </c>
      <c r="AY167" s="144" t="s">
        <v>1470</v>
      </c>
      <c r="AZ167" s="144">
        <f>IFERROR(VLOOKUP(Table5[[#This Row],[HCPCS code 2021Q1]], ASP2021Q1[], 4, FALSE), "")</f>
        <v>3.6779999999999999</v>
      </c>
      <c r="BA167" s="144">
        <f>IFERROR(Table5[[#This Row],[Payment limit 2021Q1]]/Table5[[#This Row],[HCPCS code dosage 2021Q1]], "")</f>
        <v>3.6779999999999999</v>
      </c>
      <c r="BB167" s="147" t="s">
        <v>1335</v>
      </c>
      <c r="BC167" s="118" t="s">
        <v>1665</v>
      </c>
      <c r="BD167" s="144" t="s">
        <v>1470</v>
      </c>
      <c r="BE167" s="144">
        <f>IFERROR(VLOOKUP(Table5[[#This Row],[HCPCS code 2021Q3]], ASP2021Q3[], 4, FALSE), "")</f>
        <v>4.0730000000000004</v>
      </c>
      <c r="BF167" s="144">
        <f>IFERROR(Table5[[#This Row],[Payment limit 2021Q3]]/Table5[[#This Row],[HCPCS code dosage 2021Q3]], "")</f>
        <v>4.0730000000000004</v>
      </c>
      <c r="BG167" s="147" t="s">
        <v>1335</v>
      </c>
      <c r="BH167" s="118" t="s">
        <v>1665</v>
      </c>
      <c r="BI167" s="144" t="s">
        <v>1470</v>
      </c>
      <c r="BJ167" s="144">
        <f>IFERROR(VLOOKUP(Table5[[#This Row],[HCPCS code 2022Q1]], ASP2022Q1[], 4, FALSE), "")</f>
        <v>3.9079999999999999</v>
      </c>
      <c r="BK167" s="144">
        <f>IFERROR(Table5[[#This Row],[Payment limit 2022Q1]]/Table5[[#This Row],[HCPCS code dosage 2022Q1]], "")</f>
        <v>3.9079999999999999</v>
      </c>
      <c r="BL167" s="146" t="s">
        <v>1335</v>
      </c>
      <c r="BM167" s="185">
        <v>1</v>
      </c>
      <c r="BN167" s="146" t="s">
        <v>1470</v>
      </c>
      <c r="BO167" s="146">
        <f>IFERROR(VLOOKUP(Table5[[#This Row],[HCPCS Code 2022Q3]], ASP2022Q3[], 4, FALSE), "")</f>
        <v>4.0069999999999997</v>
      </c>
      <c r="BP167" s="123">
        <f>IFERROR(Table5[[#This Row],[Payment limit 2022Q3]]/Table5[[#This Row],[HCPCS code dosage 2022Q3]], "")</f>
        <v>4.0069999999999997</v>
      </c>
      <c r="BQ167" s="146" t="s">
        <v>1335</v>
      </c>
      <c r="BR167" s="120">
        <v>1</v>
      </c>
      <c r="BS167" s="146" t="s">
        <v>1470</v>
      </c>
      <c r="BT167" s="146">
        <v>3.9329999999999998</v>
      </c>
      <c r="BU167" s="146">
        <f>IFERROR(Table5[[#This Row],[Payment limit 2023Q1]]/Table5[[#This Row],[HCPCS code dosage 2023Q1]], "")</f>
        <v>3.9329999999999998</v>
      </c>
      <c r="BV167" s="196"/>
    </row>
    <row r="168" spans="1:74" x14ac:dyDescent="0.3">
      <c r="A168" s="62" t="s">
        <v>132</v>
      </c>
      <c r="B168" s="499" t="s">
        <v>1337</v>
      </c>
      <c r="C168" s="499">
        <v>1</v>
      </c>
      <c r="D168" s="502" t="s">
        <v>1470</v>
      </c>
      <c r="E168" s="503">
        <f>IFERROR(VLOOKUP(Table5[[#This Row],[HCPCS code 2016 Q1]], ASP2016Q1[], 4, FALSE), "")</f>
        <v>6.49</v>
      </c>
      <c r="F168" s="505">
        <f>IFERROR(Table5[[#This Row],[Payment Limit 2016Q1]]/Table5[[#This Row],[HCPCS code dosage 2016Q1]], "")</f>
        <v>6.49</v>
      </c>
      <c r="G168" s="499" t="s">
        <v>1337</v>
      </c>
      <c r="H168" s="499">
        <v>1</v>
      </c>
      <c r="I168" s="502" t="s">
        <v>1470</v>
      </c>
      <c r="J168" s="503">
        <f>IFERROR(VLOOKUP(Table5[[#This Row],[HCPCS code 2016 Q3]], ASP2016Q3[], 4, FALSE), "")</f>
        <v>4.2619999999999996</v>
      </c>
      <c r="K168" s="505">
        <f>IFERROR(Table5[[#This Row],[Payment Limit 2016Q3]]/Table5[[#This Row],[HCPCS code dosage 2016Q3]], "")</f>
        <v>4.2619999999999996</v>
      </c>
      <c r="L168" s="499" t="s">
        <v>1337</v>
      </c>
      <c r="M168" s="499">
        <v>1</v>
      </c>
      <c r="N168" s="502" t="s">
        <v>1470</v>
      </c>
      <c r="O168" s="504">
        <f>IFERROR(VLOOKUP(Table5[[#This Row],[HCPCS code 2017 Q1]], ASP2017Q1[], 4, FALSE), "")</f>
        <v>4.4740000000000002</v>
      </c>
      <c r="P168" s="506">
        <f>IFERROR(Table5[[#This Row],[Payment Limit 2017Q1]]/Table5[[#This Row],[HCPCS code dosage 2017Q1]], "")</f>
        <v>4.4740000000000002</v>
      </c>
      <c r="Q168" s="277" t="s">
        <v>1337</v>
      </c>
      <c r="R168" s="277">
        <v>1</v>
      </c>
      <c r="S168" s="277" t="s">
        <v>1470</v>
      </c>
      <c r="T168" s="414">
        <f>IFERROR(VLOOKUP(Table5[[#This Row],[HCPCS code 2017 Q3]], ASP2017Q3[], 4, FALSE), "")</f>
        <v>4.9160000000000004</v>
      </c>
      <c r="U168" s="415">
        <f>IFERROR(Table5[[#This Row],[Payment Limit 2017Q3]]/Table5[[#This Row],[HCPCS code dosage 2017Q3]], "")</f>
        <v>4.9160000000000004</v>
      </c>
      <c r="V168" s="375" t="s">
        <v>1337</v>
      </c>
      <c r="W168" s="413">
        <v>1</v>
      </c>
      <c r="X168" s="278" t="s">
        <v>1470</v>
      </c>
      <c r="Y168" s="414">
        <v>4.7670000000000003</v>
      </c>
      <c r="Z168" s="415">
        <f>IFERROR(Table5[[#This Row],[Payment Limit 2018 Q1]]/Table5[[#This Row],[HCPCS code dosage 2018 Q1]],"")</f>
        <v>4.7670000000000003</v>
      </c>
      <c r="AA168" s="375" t="s">
        <v>1337</v>
      </c>
      <c r="AB168" s="382">
        <v>1</v>
      </c>
      <c r="AC168" s="278" t="s">
        <v>1470</v>
      </c>
      <c r="AD168" s="379">
        <v>5.2149999999999999</v>
      </c>
      <c r="AE168" s="414">
        <f>IFERROR(Table5[[#This Row],[Payment Limit 2018 Q3]]/Table5[[#This Row],[HCPCS code dosage 2018 Q3]],"")</f>
        <v>5.2149999999999999</v>
      </c>
      <c r="AF168" s="275" t="s">
        <v>1337</v>
      </c>
      <c r="AG168" s="195">
        <v>4.9459999999999997</v>
      </c>
      <c r="AH168" s="117" t="s">
        <v>1337</v>
      </c>
      <c r="AI168" s="118" t="s">
        <v>1665</v>
      </c>
      <c r="AJ168" s="118" t="s">
        <v>1470</v>
      </c>
      <c r="AK168" s="115">
        <f>IFERROR(VLOOKUP(Table5[[#This Row],[HCPCS code 2019Q3]], ASP2019Q3[], 4, FALSE), "")</f>
        <v>4.7919999999999998</v>
      </c>
      <c r="AL168" s="140">
        <f>IFERROR(Table5[[#This Row],[Payment Limit 2019Q3]]/Table5[[#This Row],[HCPCS code dosage 2019Q3]], "")</f>
        <v>4.7919999999999998</v>
      </c>
      <c r="AM168" s="130" t="s">
        <v>1337</v>
      </c>
      <c r="AN168" s="130" t="s">
        <v>1665</v>
      </c>
      <c r="AO168" s="130" t="s">
        <v>1470</v>
      </c>
      <c r="AP168" s="126">
        <f>IFERROR(VLOOKUP(Table5[[#This Row],[HCPCS code 2020Q1]], ASP2020Q1[], 4, FALSE), "")</f>
        <v>4.8840000000000003</v>
      </c>
      <c r="AQ168" s="141">
        <f>IFERROR(Table5[[#This Row],[Payment Limit 2020Q1]]/Table5[[#This Row],[HCPCS code dosage 2020Q1]], "")</f>
        <v>4.8840000000000003</v>
      </c>
      <c r="AR168" s="133" t="s">
        <v>1337</v>
      </c>
      <c r="AS168" s="130" t="s">
        <v>1665</v>
      </c>
      <c r="AT168" s="130" t="s">
        <v>1470</v>
      </c>
      <c r="AU168" s="132">
        <f>IFERROR(VLOOKUP(Table5[[#This Row],[HCPCS code 2020Q3]], ASP2020Q3[], 4, FALSE), "")</f>
        <v>5.2679999999999998</v>
      </c>
      <c r="AV168" s="140">
        <f>IFERROR(Table5[[#This Row],[Payment limit 2020Q3]]/Table5[[#This Row],[HCPCS code dosage 2020Q3]],"")</f>
        <v>5.2679999999999998</v>
      </c>
      <c r="AW168" s="144" t="s">
        <v>1337</v>
      </c>
      <c r="AX168" s="118" t="s">
        <v>1665</v>
      </c>
      <c r="AY168" s="144" t="s">
        <v>1470</v>
      </c>
      <c r="AZ168" s="144">
        <f>IFERROR(VLOOKUP(Table5[[#This Row],[HCPCS code 2021Q1]], ASP2021Q1[], 4, FALSE), "")</f>
        <v>5.04</v>
      </c>
      <c r="BA168" s="144">
        <f>IFERROR(Table5[[#This Row],[Payment limit 2021Q1]]/Table5[[#This Row],[HCPCS code dosage 2021Q1]], "")</f>
        <v>5.04</v>
      </c>
      <c r="BB168" s="147" t="s">
        <v>1337</v>
      </c>
      <c r="BC168" s="118" t="s">
        <v>1665</v>
      </c>
      <c r="BD168" s="144" t="s">
        <v>1470</v>
      </c>
      <c r="BE168" s="144">
        <f>IFERROR(VLOOKUP(Table5[[#This Row],[HCPCS code 2021Q3]], ASP2021Q3[], 4, FALSE), "")</f>
        <v>4.9429999999999996</v>
      </c>
      <c r="BF168" s="144">
        <f>IFERROR(Table5[[#This Row],[Payment limit 2021Q3]]/Table5[[#This Row],[HCPCS code dosage 2021Q3]], "")</f>
        <v>4.9429999999999996</v>
      </c>
      <c r="BG168" s="147" t="s">
        <v>1337</v>
      </c>
      <c r="BH168" s="118" t="s">
        <v>1665</v>
      </c>
      <c r="BI168" s="144" t="s">
        <v>1470</v>
      </c>
      <c r="BJ168" s="144">
        <f>IFERROR(VLOOKUP(Table5[[#This Row],[HCPCS code 2022Q1]], ASP2022Q1[], 4, FALSE), "")</f>
        <v>4.9390000000000001</v>
      </c>
      <c r="BK168" s="144">
        <f>IFERROR(Table5[[#This Row],[Payment limit 2022Q1]]/Table5[[#This Row],[HCPCS code dosage 2022Q1]], "")</f>
        <v>4.9390000000000001</v>
      </c>
      <c r="BL168" s="146" t="s">
        <v>1337</v>
      </c>
      <c r="BM168" s="185">
        <v>1</v>
      </c>
      <c r="BN168" s="146" t="s">
        <v>1470</v>
      </c>
      <c r="BO168" s="146">
        <f>IFERROR(VLOOKUP(Table5[[#This Row],[HCPCS Code 2022Q3]], ASP2022Q3[], 4, FALSE), "")</f>
        <v>4.9059999999999997</v>
      </c>
      <c r="BP168" s="123">
        <f>IFERROR(Table5[[#This Row],[Payment limit 2022Q3]]/Table5[[#This Row],[HCPCS code dosage 2022Q3]], "")</f>
        <v>4.9059999999999997</v>
      </c>
      <c r="BQ168" s="146" t="s">
        <v>1337</v>
      </c>
      <c r="BR168" s="120">
        <v>1</v>
      </c>
      <c r="BS168" s="146" t="s">
        <v>1470</v>
      </c>
      <c r="BT168" s="146">
        <v>4.9420000000000002</v>
      </c>
      <c r="BU168" s="146">
        <f>IFERROR(Table5[[#This Row],[Payment limit 2023Q1]]/Table5[[#This Row],[HCPCS code dosage 2023Q1]], "")</f>
        <v>4.9420000000000002</v>
      </c>
      <c r="BV168" s="196"/>
    </row>
    <row r="169" spans="1:74" x14ac:dyDescent="0.3">
      <c r="A169" s="70" t="s">
        <v>2685</v>
      </c>
      <c r="B169" s="499" t="s">
        <v>1337</v>
      </c>
      <c r="C169" s="499">
        <v>1</v>
      </c>
      <c r="D169" s="502" t="s">
        <v>1470</v>
      </c>
      <c r="E169" s="281">
        <f>IFERROR(VLOOKUP(Table5[[#This Row],[HCPCS code 2016 Q1]], ASP2016Q1[], 4, FALSE), "")</f>
        <v>6.49</v>
      </c>
      <c r="F169" s="306">
        <f>IFERROR(Table5[[#This Row],[Payment Limit 2016Q1]]/Table5[[#This Row],[HCPCS code dosage 2016Q1]], "")</f>
        <v>6.49</v>
      </c>
      <c r="G169" s="499" t="s">
        <v>1337</v>
      </c>
      <c r="H169" s="499">
        <v>1</v>
      </c>
      <c r="I169" s="502" t="s">
        <v>1470</v>
      </c>
      <c r="J169" s="281">
        <f>IFERROR(VLOOKUP(Table5[[#This Row],[HCPCS code 2016 Q3]], ASP2016Q3[], 4, FALSE), "")</f>
        <v>4.2619999999999996</v>
      </c>
      <c r="K169" s="306">
        <f>IFERROR(Table5[[#This Row],[Payment Limit 2016Q3]]/Table5[[#This Row],[HCPCS code dosage 2016Q3]], "")</f>
        <v>4.2619999999999996</v>
      </c>
      <c r="L169" s="288" t="s">
        <v>1337</v>
      </c>
      <c r="M169" s="288">
        <v>1</v>
      </c>
      <c r="N169" s="277" t="s">
        <v>1470</v>
      </c>
      <c r="O169" s="281">
        <f>IFERROR(VLOOKUP(Table5[[#This Row],[HCPCS code 2017 Q1]], ASP2017Q1[], 4, FALSE), "")</f>
        <v>4.4740000000000002</v>
      </c>
      <c r="P169" s="306">
        <f>IFERROR(Table5[[#This Row],[Payment Limit 2017Q1]]/Table5[[#This Row],[HCPCS code dosage 2017Q1]], "")</f>
        <v>4.4740000000000002</v>
      </c>
      <c r="Q169" s="276"/>
      <c r="R169" s="276"/>
      <c r="S169" s="276"/>
      <c r="T169" s="281" t="str">
        <f>IFERROR(VLOOKUP(Table5[[#This Row],[HCPCS code 2017 Q3]], ASP2017Q3[], 4, FALSE), "")</f>
        <v/>
      </c>
      <c r="U169" s="306" t="str">
        <f>IFERROR(Table5[[#This Row],[Payment Limit 2017Q3]]/Table5[[#This Row],[HCPCS code dosage 2017Q3]], "")</f>
        <v/>
      </c>
      <c r="V169" s="375"/>
      <c r="W169" s="413"/>
      <c r="X169" s="278"/>
      <c r="Y169" s="281"/>
      <c r="Z169" s="306"/>
      <c r="AA169" s="375"/>
      <c r="AB169" s="382"/>
      <c r="AC169" s="278"/>
      <c r="AD169" s="379"/>
      <c r="AE169" s="281"/>
      <c r="AF169" s="276"/>
      <c r="AG169" s="159"/>
      <c r="AH169" s="119"/>
      <c r="AI169" s="120"/>
      <c r="AJ169" s="120"/>
      <c r="AK169" s="160" t="str">
        <f>IFERROR(VLOOKUP(Table5[[#This Row],[HCPCS code 2019Q3]], ASP2019Q3[], 4, FALSE), "")</f>
        <v/>
      </c>
      <c r="AL169" s="161" t="str">
        <f>IFERROR(Table5[[#This Row],[Payment Limit 2019Q3]]/Table5[[#This Row],[HCPCS code dosage 2019Q3]], "")</f>
        <v/>
      </c>
      <c r="AM169" s="130"/>
      <c r="AN169" s="130"/>
      <c r="AO169" s="130"/>
      <c r="AP169" s="126" t="str">
        <f>IFERROR(VLOOKUP(Table5[[#This Row],[HCPCS code 2020Q1]], ASP2020Q1[], 4, FALSE), "")</f>
        <v/>
      </c>
      <c r="AQ169" s="141" t="str">
        <f>IFERROR(Table5[[#This Row],[Payment Limit 2020Q1]]/Table5[[#This Row],[HCPCS code dosage 2020Q1]], "")</f>
        <v/>
      </c>
      <c r="AR169" s="133"/>
      <c r="AS169" s="130"/>
      <c r="AT169" s="130"/>
      <c r="AU169" s="160" t="str">
        <f>IFERROR(VLOOKUP(Table5[[#This Row],[HCPCS code 2020Q3]], ASP2020Q3[], 4, FALSE), "")</f>
        <v/>
      </c>
      <c r="AV169" s="161" t="str">
        <f>IFERROR(Table5[[#This Row],[Payment limit 2020Q3]]/Table5[[#This Row],[HCPCS code dosage 2020Q3]],"")</f>
        <v/>
      </c>
      <c r="AW169" s="146"/>
      <c r="AX169" s="120"/>
      <c r="AY169" s="146"/>
      <c r="AZ169" s="146" t="str">
        <f>IFERROR(VLOOKUP(Table5[[#This Row],[HCPCS code 2021Q1]], ASP2021Q1[], 4, FALSE), "")</f>
        <v/>
      </c>
      <c r="BA169" s="146" t="str">
        <f>IFERROR(Table5[[#This Row],[Payment limit 2021Q1]]/Table5[[#This Row],[HCPCS code dosage 2021Q1]], "")</f>
        <v/>
      </c>
      <c r="BB169" s="148"/>
      <c r="BC169" s="120"/>
      <c r="BD169" s="146"/>
      <c r="BE169" s="146" t="str">
        <f>IFERROR(VLOOKUP(Table5[[#This Row],[HCPCS code 2021Q3]], ASP2021Q3[], 4, FALSE), "")</f>
        <v/>
      </c>
      <c r="BF169" s="146" t="str">
        <f>IFERROR(Table5[[#This Row],[Payment limit 2021Q3]]/Table5[[#This Row],[HCPCS code dosage 2021Q3]], "")</f>
        <v/>
      </c>
      <c r="BG169" s="148"/>
      <c r="BH169" s="120"/>
      <c r="BI169" s="146"/>
      <c r="BJ169" s="146" t="str">
        <f>IFERROR(VLOOKUP(Table5[[#This Row],[HCPCS code 2022Q1]], ASP2022Q1[], 4, FALSE), "")</f>
        <v/>
      </c>
      <c r="BK169" s="146" t="str">
        <f>IFERROR(Table5[[#This Row],[Payment limit 2022Q1]]/Table5[[#This Row],[HCPCS code dosage 2022Q1]], "")</f>
        <v/>
      </c>
      <c r="BL169" s="146"/>
      <c r="BM169" s="185"/>
      <c r="BN169" s="146"/>
      <c r="BO169" s="146" t="str">
        <f>IFERROR(VLOOKUP(Table5[[#This Row],[HCPCS Code 2022Q3]], ASP2022Q3[], 4, FALSE), "")</f>
        <v/>
      </c>
      <c r="BP169" s="123" t="str">
        <f>IFERROR(Table5[[#This Row],[Payment limit 2022Q3]]/Table5[[#This Row],[HCPCS code dosage 2022Q3]], "")</f>
        <v/>
      </c>
      <c r="BQ169" s="146"/>
      <c r="BR169" s="242"/>
      <c r="BS169" s="146"/>
      <c r="BT169" s="146"/>
      <c r="BU169" s="146" t="str">
        <f>IFERROR(Table5[[#This Row],[Payment limit 2023Q1]]/Table5[[#This Row],[HCPCS code dosage 2023Q1]], "")</f>
        <v/>
      </c>
      <c r="BV169" s="192"/>
    </row>
    <row r="170" spans="1:74" x14ac:dyDescent="0.3">
      <c r="A170" s="498" t="s">
        <v>21</v>
      </c>
      <c r="B170" s="499" t="s">
        <v>1341</v>
      </c>
      <c r="C170" s="499">
        <v>10</v>
      </c>
      <c r="D170" s="502" t="s">
        <v>1470</v>
      </c>
      <c r="E170" s="503">
        <f>IFERROR(VLOOKUP(Table5[[#This Row],[HCPCS code 2016 Q1]], ASP2016Q1[], 4, FALSE), "")</f>
        <v>11.004</v>
      </c>
      <c r="F170" s="505">
        <f>IFERROR(Table5[[#This Row],[Payment Limit 2016Q1]]/Table5[[#This Row],[HCPCS code dosage 2016Q1]], "")</f>
        <v>1.1004</v>
      </c>
      <c r="G170" s="499" t="s">
        <v>1341</v>
      </c>
      <c r="H170" s="499">
        <v>10</v>
      </c>
      <c r="I170" s="502" t="s">
        <v>1470</v>
      </c>
      <c r="J170" s="503">
        <f>IFERROR(VLOOKUP(Table5[[#This Row],[HCPCS code 2016 Q3]], ASP2016Q3[], 4, FALSE), "")</f>
        <v>10.452</v>
      </c>
      <c r="K170" s="505">
        <f>IFERROR(Table5[[#This Row],[Payment Limit 2016Q3]]/Table5[[#This Row],[HCPCS code dosage 2016Q3]], "")</f>
        <v>1.0451999999999999</v>
      </c>
      <c r="L170" s="499" t="s">
        <v>1341</v>
      </c>
      <c r="M170" s="499">
        <v>10</v>
      </c>
      <c r="N170" s="502" t="s">
        <v>1470</v>
      </c>
      <c r="O170" s="504">
        <f>IFERROR(VLOOKUP(Table5[[#This Row],[HCPCS code 2017 Q1]], ASP2017Q1[], 4, FALSE), "")</f>
        <v>8.7309999999999999</v>
      </c>
      <c r="P170" s="506">
        <f>IFERROR(Table5[[#This Row],[Payment Limit 2017Q1]]/Table5[[#This Row],[HCPCS code dosage 2017Q1]], "")</f>
        <v>0.87309999999999999</v>
      </c>
      <c r="Q170" s="277" t="s">
        <v>1341</v>
      </c>
      <c r="R170" s="277">
        <v>10</v>
      </c>
      <c r="S170" s="277" t="s">
        <v>1470</v>
      </c>
      <c r="T170" s="414">
        <f>IFERROR(VLOOKUP(Table5[[#This Row],[HCPCS code 2017 Q3]], ASP2017Q3[], 4, FALSE), "")</f>
        <v>9.4290000000000003</v>
      </c>
      <c r="U170" s="415">
        <f>IFERROR(Table5[[#This Row],[Payment Limit 2017Q3]]/Table5[[#This Row],[HCPCS code dosage 2017Q3]], "")</f>
        <v>0.94290000000000007</v>
      </c>
      <c r="V170" s="375" t="s">
        <v>1341</v>
      </c>
      <c r="W170" s="413">
        <v>10</v>
      </c>
      <c r="X170" s="278" t="s">
        <v>1470</v>
      </c>
      <c r="Y170" s="414">
        <v>9.8789999999999996</v>
      </c>
      <c r="Z170" s="415">
        <f>IFERROR(Table5[[#This Row],[Payment Limit 2018 Q1]]/Table5[[#This Row],[HCPCS code dosage 2018 Q1]],"")</f>
        <v>0.9879</v>
      </c>
      <c r="AA170" s="375" t="s">
        <v>1341</v>
      </c>
      <c r="AB170" s="382">
        <v>10</v>
      </c>
      <c r="AC170" s="278" t="s">
        <v>1470</v>
      </c>
      <c r="AD170" s="379">
        <v>17.233000000000001</v>
      </c>
      <c r="AE170" s="414">
        <f>IFERROR(Table5[[#This Row],[Payment Limit 2018 Q3]]/Table5[[#This Row],[HCPCS code dosage 2018 Q3]],"")</f>
        <v>1.7233000000000001</v>
      </c>
      <c r="AF170" s="277" t="s">
        <v>1341</v>
      </c>
      <c r="AG170" s="159">
        <v>0.82720000000000005</v>
      </c>
      <c r="AH170" s="119" t="s">
        <v>1341</v>
      </c>
      <c r="AI170" s="120" t="s">
        <v>1664</v>
      </c>
      <c r="AJ170" s="120" t="s">
        <v>1470</v>
      </c>
      <c r="AK170" s="116">
        <f>IFERROR(VLOOKUP(Table5[[#This Row],[HCPCS code 2019Q3]], ASP2019Q3[], 4, FALSE), "")</f>
        <v>8.8450000000000006</v>
      </c>
      <c r="AL170" s="161">
        <f>IFERROR(Table5[[#This Row],[Payment Limit 2019Q3]]/Table5[[#This Row],[HCPCS code dosage 2019Q3]], "")</f>
        <v>0.88450000000000006</v>
      </c>
      <c r="AM170" s="130" t="s">
        <v>1341</v>
      </c>
      <c r="AN170" s="130" t="s">
        <v>1664</v>
      </c>
      <c r="AO170" s="130" t="s">
        <v>1470</v>
      </c>
      <c r="AP170" s="126">
        <f>IFERROR(VLOOKUP(Table5[[#This Row],[HCPCS code 2020Q1]], ASP2020Q1[], 4, FALSE), "")</f>
        <v>11.96</v>
      </c>
      <c r="AQ170" s="141">
        <f>IFERROR(Table5[[#This Row],[Payment Limit 2020Q1]]/Table5[[#This Row],[HCPCS code dosage 2020Q1]], "")</f>
        <v>1.1960000000000002</v>
      </c>
      <c r="AR170" s="133" t="s">
        <v>1341</v>
      </c>
      <c r="AS170" s="130" t="s">
        <v>1664</v>
      </c>
      <c r="AT170" s="130" t="s">
        <v>1470</v>
      </c>
      <c r="AU170" s="160">
        <f>IFERROR(VLOOKUP(Table5[[#This Row],[HCPCS code 2020Q3]], ASP2020Q3[], 4, FALSE), "")</f>
        <v>3.3740000000000001</v>
      </c>
      <c r="AV170" s="161">
        <f>IFERROR(Table5[[#This Row],[Payment limit 2020Q3]]/Table5[[#This Row],[HCPCS code dosage 2020Q3]],"")</f>
        <v>0.33740000000000003</v>
      </c>
      <c r="AW170" s="146" t="s">
        <v>1341</v>
      </c>
      <c r="AX170" s="120" t="s">
        <v>1664</v>
      </c>
      <c r="AY170" s="146" t="s">
        <v>1470</v>
      </c>
      <c r="AZ170" s="146">
        <f>IFERROR(VLOOKUP(Table5[[#This Row],[HCPCS code 2021Q1]], ASP2021Q1[], 4, FALSE), "")</f>
        <v>9.5440000000000005</v>
      </c>
      <c r="BA170" s="146">
        <f>IFERROR(Table5[[#This Row],[Payment limit 2021Q1]]/Table5[[#This Row],[HCPCS code dosage 2021Q1]], "")</f>
        <v>0.95440000000000003</v>
      </c>
      <c r="BB170" s="148" t="s">
        <v>1341</v>
      </c>
      <c r="BC170" s="120" t="s">
        <v>1664</v>
      </c>
      <c r="BD170" s="146" t="s">
        <v>1470</v>
      </c>
      <c r="BE170" s="146">
        <f>IFERROR(VLOOKUP(Table5[[#This Row],[HCPCS code 2021Q3]], ASP2021Q3[], 4, FALSE), "")</f>
        <v>9.8079999999999998</v>
      </c>
      <c r="BF170" s="146">
        <f>IFERROR(Table5[[#This Row],[Payment limit 2021Q3]]/Table5[[#This Row],[HCPCS code dosage 2021Q3]], "")</f>
        <v>0.98080000000000001</v>
      </c>
      <c r="BG170" s="148" t="s">
        <v>1341</v>
      </c>
      <c r="BH170" s="120" t="s">
        <v>1664</v>
      </c>
      <c r="BI170" s="146" t="s">
        <v>1470</v>
      </c>
      <c r="BJ170" s="146">
        <f>IFERROR(VLOOKUP(Table5[[#This Row],[HCPCS code 2022Q1]], ASP2022Q1[], 4, FALSE), "")</f>
        <v>8.6240000000000006</v>
      </c>
      <c r="BK170" s="146">
        <f>IFERROR(Table5[[#This Row],[Payment limit 2022Q1]]/Table5[[#This Row],[HCPCS code dosage 2022Q1]], "")</f>
        <v>0.86240000000000006</v>
      </c>
      <c r="BL170" s="146" t="s">
        <v>1341</v>
      </c>
      <c r="BM170" s="185">
        <v>10</v>
      </c>
      <c r="BN170" s="146" t="s">
        <v>1470</v>
      </c>
      <c r="BO170" s="146">
        <f>IFERROR(VLOOKUP(Table5[[#This Row],[HCPCS Code 2022Q3]], ASP2022Q3[], 4, FALSE), "")</f>
        <v>11.397</v>
      </c>
      <c r="BP170" s="123">
        <f>IFERROR(Table5[[#This Row],[Payment limit 2022Q3]]/Table5[[#This Row],[HCPCS code dosage 2022Q3]], "")</f>
        <v>1.1396999999999999</v>
      </c>
      <c r="BQ170" s="146" t="s">
        <v>1341</v>
      </c>
      <c r="BR170" s="120">
        <v>10</v>
      </c>
      <c r="BS170" s="146" t="s">
        <v>1470</v>
      </c>
      <c r="BT170" s="146">
        <v>9.2509999999999994</v>
      </c>
      <c r="BU170" s="146">
        <f>IFERROR(Table5[[#This Row],[Payment limit 2023Q1]]/Table5[[#This Row],[HCPCS code dosage 2023Q1]], "")</f>
        <v>0.92509999999999992</v>
      </c>
      <c r="BV170" s="192"/>
    </row>
    <row r="171" spans="1:74" x14ac:dyDescent="0.3">
      <c r="A171" s="70" t="s">
        <v>1910</v>
      </c>
      <c r="B171" s="288"/>
      <c r="C171" s="288"/>
      <c r="D171" s="277"/>
      <c r="E171" s="281" t="str">
        <f>IFERROR(VLOOKUP(Table5[[#This Row],[HCPCS code 2016 Q1]], ASP2016Q1[], 4, FALSE), "")</f>
        <v/>
      </c>
      <c r="F171" s="306" t="str">
        <f>IFERROR(Table5[[#This Row],[Payment Limit 2016Q1]]/Table5[[#This Row],[HCPCS code dosage 2016Q1]], "")</f>
        <v/>
      </c>
      <c r="G171" s="288"/>
      <c r="H171" s="288"/>
      <c r="I171" s="277"/>
      <c r="J171" s="281" t="str">
        <f>IFERROR(VLOOKUP(Table5[[#This Row],[HCPCS code 2016 Q3]], ASP2016Q3[], 4, FALSE), "")</f>
        <v/>
      </c>
      <c r="K171" s="306" t="str">
        <f>IFERROR(Table5[[#This Row],[Payment Limit 2016Q3]]/Table5[[#This Row],[HCPCS code dosage 2016Q3]], "")</f>
        <v/>
      </c>
      <c r="L171" s="288"/>
      <c r="M171" s="288"/>
      <c r="N171" s="277"/>
      <c r="O171" s="504" t="str">
        <f>IFERROR(VLOOKUP(Table5[[#This Row],[HCPCS code 2017 Q1]], ASP2017Q1[], 4, FALSE), "")</f>
        <v/>
      </c>
      <c r="P171" s="506" t="str">
        <f>IFERROR(Table5[[#This Row],[Payment Limit 2017Q1]]/Table5[[#This Row],[HCPCS code dosage 2017Q1]], "")</f>
        <v/>
      </c>
      <c r="Q171" s="278" t="s">
        <v>1208</v>
      </c>
      <c r="R171" s="278" t="s">
        <v>2434</v>
      </c>
      <c r="S171" s="278"/>
      <c r="T171" s="414" t="str">
        <f>IFERROR(VLOOKUP(Table5[[#This Row],[HCPCS code 2017 Q3]], ASP2017Q3[], 4, FALSE), "")</f>
        <v/>
      </c>
      <c r="U171" s="415" t="str">
        <f>IFERROR(Table5[[#This Row],[Payment Limit 2017Q3]]/Table5[[#This Row],[HCPCS code dosage 2017Q3]], "")</f>
        <v/>
      </c>
      <c r="V171" s="375"/>
      <c r="W171" s="413"/>
      <c r="X171" s="278"/>
      <c r="Y171" s="414"/>
      <c r="Z171" s="415"/>
      <c r="AA171" s="375"/>
      <c r="AB171" s="382"/>
      <c r="AC171" s="278"/>
      <c r="AD171" s="379"/>
      <c r="AE171" s="414"/>
      <c r="AF171" s="278"/>
      <c r="AG171" s="159"/>
      <c r="AH171" s="119"/>
      <c r="AI171" s="120"/>
      <c r="AJ171" s="120"/>
      <c r="AK171" s="518" t="str">
        <f>IFERROR(VLOOKUP(Table5[[#This Row],[HCPCS code 2019Q3]], ASP2019Q3[], 4, FALSE), "")</f>
        <v/>
      </c>
      <c r="AL171" s="161" t="str">
        <f>IFERROR(Table5[[#This Row],[Payment Limit 2019Q3]]/Table5[[#This Row],[HCPCS code dosage 2019Q3]], "")</f>
        <v/>
      </c>
      <c r="AM171" s="130"/>
      <c r="AN171" s="130"/>
      <c r="AO171" s="130"/>
      <c r="AP171" s="126" t="str">
        <f>IFERROR(VLOOKUP(Table5[[#This Row],[HCPCS code 2020Q1]], ASP2020Q1[], 4, FALSE), "")</f>
        <v/>
      </c>
      <c r="AQ171" s="141" t="str">
        <f>IFERROR(Table5[[#This Row],[Payment Limit 2020Q1]]/Table5[[#This Row],[HCPCS code dosage 2020Q1]], "")</f>
        <v/>
      </c>
      <c r="AR171" s="133" t="s">
        <v>1208</v>
      </c>
      <c r="AS171" s="130">
        <v>1</v>
      </c>
      <c r="AT171" s="130" t="s">
        <v>1470</v>
      </c>
      <c r="AU171" s="160">
        <f>IFERROR(VLOOKUP(Table5[[#This Row],[HCPCS code 2020Q3]], ASP2020Q3[], 4, FALSE), "")</f>
        <v>198.07499999999999</v>
      </c>
      <c r="AV171" s="161">
        <f>IFERROR(Table5[[#This Row],[Payment limit 2020Q3]]/Table5[[#This Row],[HCPCS code dosage 2020Q3]],"")</f>
        <v>198.07499999999999</v>
      </c>
      <c r="AW171" s="146" t="s">
        <v>1208</v>
      </c>
      <c r="AX171" s="120">
        <v>1</v>
      </c>
      <c r="AY171" s="146" t="s">
        <v>1470</v>
      </c>
      <c r="AZ171" s="146">
        <f>IFERROR(VLOOKUP(Table5[[#This Row],[HCPCS code 2021Q1]], ASP2021Q1[], 4, FALSE), "")</f>
        <v>201.68600000000001</v>
      </c>
      <c r="BA171" s="146">
        <f>IFERROR(Table5[[#This Row],[Payment limit 2021Q1]]/Table5[[#This Row],[HCPCS code dosage 2021Q1]], "")</f>
        <v>201.68600000000001</v>
      </c>
      <c r="BB171" s="148" t="s">
        <v>1208</v>
      </c>
      <c r="BC171" s="120">
        <v>1</v>
      </c>
      <c r="BD171" s="146" t="s">
        <v>1470</v>
      </c>
      <c r="BE171" s="146">
        <f>IFERROR(VLOOKUP(Table5[[#This Row],[HCPCS code 2021Q3]], ASP2021Q3[], 4, FALSE), "")</f>
        <v>202.809</v>
      </c>
      <c r="BF171" s="146">
        <f>IFERROR(Table5[[#This Row],[Payment limit 2021Q3]]/Table5[[#This Row],[HCPCS code dosage 2021Q3]], "")</f>
        <v>202.809</v>
      </c>
      <c r="BG171" s="148" t="s">
        <v>1208</v>
      </c>
      <c r="BH171" s="120">
        <v>1</v>
      </c>
      <c r="BI171" s="146" t="s">
        <v>1470</v>
      </c>
      <c r="BJ171" s="146">
        <f>IFERROR(VLOOKUP(Table5[[#This Row],[HCPCS code 2022Q1]], ASP2022Q1[], 4, FALSE), "")</f>
        <v>207.631</v>
      </c>
      <c r="BK171" s="146">
        <f>IFERROR(Table5[[#This Row],[Payment limit 2022Q1]]/Table5[[#This Row],[HCPCS code dosage 2022Q1]], "")</f>
        <v>207.631</v>
      </c>
      <c r="BL171" s="146" t="s">
        <v>1208</v>
      </c>
      <c r="BM171" s="185">
        <v>1</v>
      </c>
      <c r="BN171" s="146" t="s">
        <v>1470</v>
      </c>
      <c r="BO171" s="146">
        <f>IFERROR(VLOOKUP(Table5[[#This Row],[HCPCS Code 2022Q3]], ASP2022Q3[], 4, FALSE), "")</f>
        <v>215.40700000000001</v>
      </c>
      <c r="BP171" s="123">
        <f>IFERROR(Table5[[#This Row],[Payment limit 2022Q3]]/Table5[[#This Row],[HCPCS code dosage 2022Q3]], "")</f>
        <v>215.40700000000001</v>
      </c>
      <c r="BQ171" s="146" t="s">
        <v>1208</v>
      </c>
      <c r="BR171" s="120">
        <v>1</v>
      </c>
      <c r="BS171" s="146" t="s">
        <v>1470</v>
      </c>
      <c r="BT171" s="146">
        <v>219.05699999999999</v>
      </c>
      <c r="BU171" s="146">
        <f>IFERROR(Table5[[#This Row],[Payment limit 2023Q1]]/Table5[[#This Row],[HCPCS code dosage 2023Q1]], "")</f>
        <v>219.05699999999999</v>
      </c>
      <c r="BV171" s="192" t="s">
        <v>1911</v>
      </c>
    </row>
    <row r="172" spans="1:74" x14ac:dyDescent="0.3">
      <c r="A172" s="70" t="s">
        <v>2751</v>
      </c>
      <c r="B172" s="411"/>
      <c r="C172" s="411"/>
      <c r="D172" s="412"/>
      <c r="E172" s="281" t="str">
        <f>IFERROR(VLOOKUP(Table5[[#This Row],[HCPCS code 2016 Q1]], ASP2016Q1[], 4, FALSE), "")</f>
        <v/>
      </c>
      <c r="F172" s="306" t="str">
        <f>IFERROR(Table5[[#This Row],[Payment Limit 2016Q1]]/Table5[[#This Row],[HCPCS code dosage 2016Q1]], "")</f>
        <v/>
      </c>
      <c r="G172" s="411"/>
      <c r="H172" s="411"/>
      <c r="I172" s="412"/>
      <c r="J172" s="281" t="str">
        <f>IFERROR(VLOOKUP(Table5[[#This Row],[HCPCS code 2016 Q3]], ASP2016Q3[], 4, FALSE), "")</f>
        <v/>
      </c>
      <c r="K172" s="306" t="str">
        <f>IFERROR(Table5[[#This Row],[Payment Limit 2016Q3]]/Table5[[#This Row],[HCPCS code dosage 2016Q3]], "")</f>
        <v/>
      </c>
      <c r="L172" s="288"/>
      <c r="M172" s="288"/>
      <c r="N172" s="277"/>
      <c r="O172" s="281" t="str">
        <f>IFERROR(VLOOKUP(Table5[[#This Row],[HCPCS code 2017 Q1]], ASP2017Q1[], 4, FALSE), "")</f>
        <v/>
      </c>
      <c r="P172" s="306" t="str">
        <f>IFERROR(Table5[[#This Row],[Payment Limit 2017Q1]]/Table5[[#This Row],[HCPCS code dosage 2017Q1]], "")</f>
        <v/>
      </c>
      <c r="Q172" s="278"/>
      <c r="R172" s="276"/>
      <c r="S172" s="276"/>
      <c r="T172" s="281" t="str">
        <f>IFERROR(VLOOKUP(Table5[[#This Row],[HCPCS code 2017 Q3]], ASP2017Q3[], 4, FALSE), "")</f>
        <v/>
      </c>
      <c r="U172" s="306" t="str">
        <f>IFERROR(Table5[[#This Row],[Payment Limit 2017Q3]]/Table5[[#This Row],[HCPCS code dosage 2017Q3]], "")</f>
        <v/>
      </c>
      <c r="V172" s="375"/>
      <c r="W172" s="413"/>
      <c r="X172" s="278"/>
      <c r="Y172" s="414"/>
      <c r="Z172" s="415" t="str">
        <f>IFERROR(Table5[[#This Row],[Payment Limit 2018 Q1]]/Table5[[#This Row],[HCPCS code dosage 2018 Q1]],"")</f>
        <v/>
      </c>
      <c r="AA172" s="375"/>
      <c r="AB172" s="382"/>
      <c r="AC172" s="278"/>
      <c r="AD172" s="379"/>
      <c r="AE172" s="281" t="str">
        <f>IFERROR(Table5[[#This Row],[Payment Limit 2018 Q3]]/Table5[[#This Row],[HCPCS code dosage 2018 Q3]],"")</f>
        <v/>
      </c>
      <c r="AF172" s="276"/>
      <c r="AG172" s="159"/>
      <c r="AH172" s="119"/>
      <c r="AI172" s="120"/>
      <c r="AJ172" s="120"/>
      <c r="AK172" s="160" t="str">
        <f>IFERROR(VLOOKUP(Table5[[#This Row],[HCPCS code 2019Q3]], ASP2019Q3[], 4, FALSE), "")</f>
        <v/>
      </c>
      <c r="AL172" s="161" t="str">
        <f>IFERROR(Table5[[#This Row],[Payment Limit 2019Q3]]/Table5[[#This Row],[HCPCS code dosage 2019Q3]], "")</f>
        <v/>
      </c>
      <c r="AM172" s="130"/>
      <c r="AN172" s="130"/>
      <c r="AO172" s="130"/>
      <c r="AP172" s="126" t="str">
        <f>IFERROR(VLOOKUP(Table5[[#This Row],[HCPCS code 2020Q1]], ASP2020Q1[], 4, FALSE), "")</f>
        <v/>
      </c>
      <c r="AQ172" s="141" t="str">
        <f>IFERROR(Table5[[#This Row],[Payment Limit 2020Q1]]/Table5[[#This Row],[HCPCS code dosage 2020Q1]], "")</f>
        <v/>
      </c>
      <c r="AR172" s="133" t="s">
        <v>1645</v>
      </c>
      <c r="AS172" s="130">
        <v>0.5</v>
      </c>
      <c r="AT172" s="130" t="s">
        <v>1470</v>
      </c>
      <c r="AU172" s="160">
        <f>IFERROR(VLOOKUP(Table5[[#This Row],[HCPCS code 2020Q3]], ASP2020Q3[], 4, FALSE), "")</f>
        <v>317.28300000000002</v>
      </c>
      <c r="AV172" s="161">
        <f>IFERROR(Table5[[#This Row],[Payment limit 2020Q3]]/Table5[[#This Row],[HCPCS code dosage 2020Q3]],"")</f>
        <v>634.56600000000003</v>
      </c>
      <c r="AW172" s="146" t="s">
        <v>1645</v>
      </c>
      <c r="AX172" s="120">
        <v>0.5</v>
      </c>
      <c r="AY172" s="146" t="s">
        <v>1470</v>
      </c>
      <c r="AZ172" s="146">
        <f>IFERROR(VLOOKUP(Table5[[#This Row],[HCPCS code 2021Q1]], ASP2021Q1[], 4, FALSE), "")</f>
        <v>297.96199999999999</v>
      </c>
      <c r="BA172" s="146">
        <f>IFERROR(Table5[[#This Row],[Payment limit 2021Q1]]/Table5[[#This Row],[HCPCS code dosage 2021Q1]], "")</f>
        <v>595.92399999999998</v>
      </c>
      <c r="BB172" s="148" t="s">
        <v>1645</v>
      </c>
      <c r="BC172" s="120">
        <v>0.5</v>
      </c>
      <c r="BD172" s="146" t="s">
        <v>1470</v>
      </c>
      <c r="BE172" s="146">
        <f>IFERROR(VLOOKUP(Table5[[#This Row],[HCPCS code 2021Q3]], ASP2021Q3[], 4, FALSE), "")</f>
        <v>270.56</v>
      </c>
      <c r="BF172" s="146">
        <f>IFERROR(Table5[[#This Row],[Payment limit 2021Q3]]/Table5[[#This Row],[HCPCS code dosage 2021Q3]], "")</f>
        <v>541.12</v>
      </c>
      <c r="BG172" s="148" t="s">
        <v>1645</v>
      </c>
      <c r="BH172" s="120">
        <v>0.5</v>
      </c>
      <c r="BI172" s="146" t="s">
        <v>1470</v>
      </c>
      <c r="BJ172" s="146">
        <f>IFERROR(VLOOKUP(Table5[[#This Row],[HCPCS code 2022Q1]], ASP2022Q1[], 4, FALSE), "")</f>
        <v>222.86099999999999</v>
      </c>
      <c r="BK172" s="146">
        <f>IFERROR(Table5[[#This Row],[Payment limit 2022Q1]]/Table5[[#This Row],[HCPCS code dosage 2022Q1]], "")</f>
        <v>445.72199999999998</v>
      </c>
      <c r="BL172" s="146" t="s">
        <v>1645</v>
      </c>
      <c r="BM172" s="185">
        <v>0.5</v>
      </c>
      <c r="BN172" s="146" t="s">
        <v>1470</v>
      </c>
      <c r="BO172" s="146">
        <f>IFERROR(VLOOKUP(Table5[[#This Row],[HCPCS Code 2022Q3]], ASP2022Q3[], 4, FALSE), "")</f>
        <v>153.333</v>
      </c>
      <c r="BP172" s="123">
        <f>IFERROR(Table5[[#This Row],[Payment limit 2022Q3]]/Table5[[#This Row],[HCPCS code dosage 2022Q3]], "")</f>
        <v>306.666</v>
      </c>
      <c r="BQ172" s="146"/>
      <c r="BR172" s="242"/>
      <c r="BS172" s="146"/>
      <c r="BT172" s="146"/>
      <c r="BU172" s="146" t="str">
        <f>IFERROR(Table5[[#This Row],[Payment limit 2023Q1]]/Table5[[#This Row],[HCPCS code dosage 2023Q1]], "")</f>
        <v/>
      </c>
      <c r="BV172" s="192"/>
    </row>
    <row r="173" spans="1:74" x14ac:dyDescent="0.3">
      <c r="A173" s="498" t="s">
        <v>160</v>
      </c>
      <c r="B173" s="499" t="s">
        <v>1345</v>
      </c>
      <c r="C173" s="499">
        <v>1</v>
      </c>
      <c r="D173" s="502" t="s">
        <v>1470</v>
      </c>
      <c r="E173" s="503">
        <f>IFERROR(VLOOKUP(Table5[[#This Row],[HCPCS code 2016 Q1]], ASP2016Q1[], 4, FALSE), "")</f>
        <v>8.2100000000000009</v>
      </c>
      <c r="F173" s="505">
        <f>IFERROR(Table5[[#This Row],[Payment Limit 2016Q1]]/Table5[[#This Row],[HCPCS code dosage 2016Q1]], "")</f>
        <v>8.2100000000000009</v>
      </c>
      <c r="G173" s="499" t="s">
        <v>1345</v>
      </c>
      <c r="H173" s="499">
        <v>1</v>
      </c>
      <c r="I173" s="502" t="s">
        <v>1470</v>
      </c>
      <c r="J173" s="503">
        <f>IFERROR(VLOOKUP(Table5[[#This Row],[HCPCS code 2016 Q3]], ASP2016Q3[], 4, FALSE), "")</f>
        <v>8.0719999999999992</v>
      </c>
      <c r="K173" s="505">
        <f>IFERROR(Table5[[#This Row],[Payment Limit 2016Q3]]/Table5[[#This Row],[HCPCS code dosage 2016Q3]], "")</f>
        <v>8.0719999999999992</v>
      </c>
      <c r="L173" s="499" t="s">
        <v>1345</v>
      </c>
      <c r="M173" s="499">
        <v>1</v>
      </c>
      <c r="N173" s="502" t="s">
        <v>1470</v>
      </c>
      <c r="O173" s="504">
        <f>IFERROR(VLOOKUP(Table5[[#This Row],[HCPCS code 2017 Q1]], ASP2017Q1[], 4, FALSE), "")</f>
        <v>8.173</v>
      </c>
      <c r="P173" s="506">
        <f>IFERROR(Table5[[#This Row],[Payment Limit 2017Q1]]/Table5[[#This Row],[HCPCS code dosage 2017Q1]], "")</f>
        <v>8.173</v>
      </c>
      <c r="Q173" s="277" t="s">
        <v>1345</v>
      </c>
      <c r="R173" s="277">
        <v>1</v>
      </c>
      <c r="S173" s="277" t="s">
        <v>1470</v>
      </c>
      <c r="T173" s="414">
        <f>IFERROR(VLOOKUP(Table5[[#This Row],[HCPCS code 2017 Q3]], ASP2017Q3[], 4, FALSE), "")</f>
        <v>8.048</v>
      </c>
      <c r="U173" s="415">
        <f>IFERROR(Table5[[#This Row],[Payment Limit 2017Q3]]/Table5[[#This Row],[HCPCS code dosage 2017Q3]], "")</f>
        <v>8.048</v>
      </c>
      <c r="V173" s="375" t="s">
        <v>1345</v>
      </c>
      <c r="W173" s="413">
        <v>1</v>
      </c>
      <c r="X173" s="278" t="s">
        <v>1470</v>
      </c>
      <c r="Y173" s="414">
        <v>8.0969999999999995</v>
      </c>
      <c r="Z173" s="415">
        <f>IFERROR(Table5[[#This Row],[Payment Limit 2018 Q1]]/Table5[[#This Row],[HCPCS code dosage 2018 Q1]],"")</f>
        <v>8.0969999999999995</v>
      </c>
      <c r="AA173" s="375" t="s">
        <v>1345</v>
      </c>
      <c r="AB173" s="382">
        <v>1</v>
      </c>
      <c r="AC173" s="278" t="s">
        <v>1470</v>
      </c>
      <c r="AD173" s="379">
        <v>8.0850000000000009</v>
      </c>
      <c r="AE173" s="414">
        <f>IFERROR(Table5[[#This Row],[Payment Limit 2018 Q3]]/Table5[[#This Row],[HCPCS code dosage 2018 Q3]],"")</f>
        <v>8.0850000000000009</v>
      </c>
      <c r="AF173" s="277" t="s">
        <v>1345</v>
      </c>
      <c r="AG173" s="159">
        <v>8.0839999999999996</v>
      </c>
      <c r="AH173" s="119" t="s">
        <v>1345</v>
      </c>
      <c r="AI173" s="120" t="s">
        <v>1665</v>
      </c>
      <c r="AJ173" s="120" t="s">
        <v>1470</v>
      </c>
      <c r="AK173" s="116">
        <f>IFERROR(VLOOKUP(Table5[[#This Row],[HCPCS code 2019Q3]], ASP2019Q3[], 4, FALSE), "")</f>
        <v>8.4220000000000006</v>
      </c>
      <c r="AL173" s="161">
        <f>IFERROR(Table5[[#This Row],[Payment Limit 2019Q3]]/Table5[[#This Row],[HCPCS code dosage 2019Q3]], "")</f>
        <v>8.4220000000000006</v>
      </c>
      <c r="AM173" s="130" t="s">
        <v>1345</v>
      </c>
      <c r="AN173" s="130" t="s">
        <v>1665</v>
      </c>
      <c r="AO173" s="130" t="s">
        <v>1470</v>
      </c>
      <c r="AP173" s="126">
        <f>IFERROR(VLOOKUP(Table5[[#This Row],[HCPCS code 2020Q1]], ASP2020Q1[], 4, FALSE), "")</f>
        <v>8.3949999999999996</v>
      </c>
      <c r="AQ173" s="141">
        <f>IFERROR(Table5[[#This Row],[Payment Limit 2020Q1]]/Table5[[#This Row],[HCPCS code dosage 2020Q1]], "")</f>
        <v>8.3949999999999996</v>
      </c>
      <c r="AR173" s="133" t="s">
        <v>1345</v>
      </c>
      <c r="AS173" s="130" t="s">
        <v>1665</v>
      </c>
      <c r="AT173" s="130" t="s">
        <v>1470</v>
      </c>
      <c r="AU173" s="160">
        <f>IFERROR(VLOOKUP(Table5[[#This Row],[HCPCS code 2020Q3]], ASP2020Q3[], 4, FALSE), "")</f>
        <v>8.0820000000000007</v>
      </c>
      <c r="AV173" s="161">
        <f>IFERROR(Table5[[#This Row],[Payment limit 2020Q3]]/Table5[[#This Row],[HCPCS code dosage 2020Q3]],"")</f>
        <v>8.0820000000000007</v>
      </c>
      <c r="AW173" s="146" t="s">
        <v>1345</v>
      </c>
      <c r="AX173" s="120" t="s">
        <v>1665</v>
      </c>
      <c r="AY173" s="146" t="s">
        <v>1470</v>
      </c>
      <c r="AZ173" s="146">
        <f>IFERROR(VLOOKUP(Table5[[#This Row],[HCPCS code 2021Q1]], ASP2021Q1[], 4, FALSE), "")</f>
        <v>8.4960000000000004</v>
      </c>
      <c r="BA173" s="146">
        <f>IFERROR(Table5[[#This Row],[Payment limit 2021Q1]]/Table5[[#This Row],[HCPCS code dosage 2021Q1]], "")</f>
        <v>8.4960000000000004</v>
      </c>
      <c r="BB173" s="148" t="s">
        <v>1345</v>
      </c>
      <c r="BC173" s="120" t="s">
        <v>1665</v>
      </c>
      <c r="BD173" s="146" t="s">
        <v>1470</v>
      </c>
      <c r="BE173" s="146">
        <f>IFERROR(VLOOKUP(Table5[[#This Row],[HCPCS code 2021Q3]], ASP2021Q3[], 4, FALSE), "")</f>
        <v>8.2690000000000001</v>
      </c>
      <c r="BF173" s="146">
        <f>IFERROR(Table5[[#This Row],[Payment limit 2021Q3]]/Table5[[#This Row],[HCPCS code dosage 2021Q3]], "")</f>
        <v>8.2690000000000001</v>
      </c>
      <c r="BG173" s="148" t="s">
        <v>1345</v>
      </c>
      <c r="BH173" s="120" t="s">
        <v>1665</v>
      </c>
      <c r="BI173" s="146" t="s">
        <v>1470</v>
      </c>
      <c r="BJ173" s="146">
        <f>IFERROR(VLOOKUP(Table5[[#This Row],[HCPCS code 2022Q1]], ASP2022Q1[], 4, FALSE), "")</f>
        <v>7.6609999999999996</v>
      </c>
      <c r="BK173" s="146">
        <f>IFERROR(Table5[[#This Row],[Payment limit 2022Q1]]/Table5[[#This Row],[HCPCS code dosage 2022Q1]], "")</f>
        <v>7.6609999999999996</v>
      </c>
      <c r="BL173" s="146" t="s">
        <v>1345</v>
      </c>
      <c r="BM173" s="185">
        <v>1</v>
      </c>
      <c r="BN173" s="146" t="s">
        <v>1470</v>
      </c>
      <c r="BO173" s="146">
        <f>IFERROR(VLOOKUP(Table5[[#This Row],[HCPCS Code 2022Q3]], ASP2022Q3[], 4, FALSE), "")</f>
        <v>8.0909999999999993</v>
      </c>
      <c r="BP173" s="123">
        <f>IFERROR(Table5[[#This Row],[Payment limit 2022Q3]]/Table5[[#This Row],[HCPCS code dosage 2022Q3]], "")</f>
        <v>8.0909999999999993</v>
      </c>
      <c r="BQ173" s="146" t="s">
        <v>1345</v>
      </c>
      <c r="BR173" s="120">
        <v>1</v>
      </c>
      <c r="BS173" s="146" t="s">
        <v>1470</v>
      </c>
      <c r="BT173" s="146">
        <v>7.0060000000000002</v>
      </c>
      <c r="BU173" s="146">
        <f>IFERROR(Table5[[#This Row],[Payment limit 2023Q1]]/Table5[[#This Row],[HCPCS code dosage 2023Q1]], "")</f>
        <v>7.0060000000000002</v>
      </c>
      <c r="BV173" s="192"/>
    </row>
    <row r="174" spans="1:74" x14ac:dyDescent="0.3">
      <c r="A174" s="70" t="s">
        <v>2615</v>
      </c>
      <c r="B174" s="277" t="s">
        <v>941</v>
      </c>
      <c r="C174" s="288">
        <v>1</v>
      </c>
      <c r="D174" s="277" t="s">
        <v>1470</v>
      </c>
      <c r="E174" s="281">
        <f>IFERROR(VLOOKUP(Table5[[#This Row],[HCPCS code 2016 Q1]], ASP2016Q1[], 4, FALSE), "")</f>
        <v>27.527999999999999</v>
      </c>
      <c r="F174" s="306">
        <f>IFERROR(Table5[[#This Row],[Payment Limit 2016Q1]]/Table5[[#This Row],[HCPCS code dosage 2016Q1]], "")</f>
        <v>27.527999999999999</v>
      </c>
      <c r="G174" s="288" t="s">
        <v>941</v>
      </c>
      <c r="H174" s="288">
        <v>1</v>
      </c>
      <c r="I174" s="277" t="s">
        <v>1470</v>
      </c>
      <c r="J174" s="281">
        <f>IFERROR(VLOOKUP(Table5[[#This Row],[HCPCS code 2016 Q3]], ASP2016Q3[], 4, FALSE), "")</f>
        <v>18.446999999999999</v>
      </c>
      <c r="K174" s="306">
        <f>IFERROR(Table5[[#This Row],[Payment Limit 2016Q3]]/Table5[[#This Row],[HCPCS code dosage 2016Q3]], "")</f>
        <v>18.446999999999999</v>
      </c>
      <c r="L174" s="288" t="s">
        <v>941</v>
      </c>
      <c r="M174" s="288">
        <v>1</v>
      </c>
      <c r="N174" s="277" t="s">
        <v>1470</v>
      </c>
      <c r="O174" s="281">
        <f>IFERROR(VLOOKUP(Table5[[#This Row],[HCPCS code 2017 Q1]], ASP2017Q1[], 4, FALSE), "")</f>
        <v>12.451000000000001</v>
      </c>
      <c r="P174" s="306">
        <f>IFERROR(Table5[[#This Row],[Payment Limit 2017Q1]]/Table5[[#This Row],[HCPCS code dosage 2017Q1]], "")</f>
        <v>12.451000000000001</v>
      </c>
      <c r="Q174" s="278" t="s">
        <v>941</v>
      </c>
      <c r="R174" s="276">
        <v>1</v>
      </c>
      <c r="S174" s="276" t="s">
        <v>1470</v>
      </c>
      <c r="T174" s="281">
        <f>IFERROR(VLOOKUP(Table5[[#This Row],[HCPCS code 2017 Q3]], ASP2017Q3[], 4, FALSE), "")</f>
        <v>12.031000000000001</v>
      </c>
      <c r="U174" s="306">
        <f>IFERROR(Table5[[#This Row],[Payment Limit 2017Q3]]/Table5[[#This Row],[HCPCS code dosage 2017Q3]], "")</f>
        <v>12.031000000000001</v>
      </c>
      <c r="V174" s="375" t="s">
        <v>941</v>
      </c>
      <c r="W174" s="413">
        <v>1</v>
      </c>
      <c r="X174" s="278" t="s">
        <v>1470</v>
      </c>
      <c r="Y174" s="281">
        <v>12.853999999999999</v>
      </c>
      <c r="Z174" s="306">
        <f>IFERROR(Table5[[#This Row],[Payment Limit 2018 Q1]]/Table5[[#This Row],[HCPCS code dosage 2018 Q1]],"")</f>
        <v>12.853999999999999</v>
      </c>
      <c r="AA174" s="375" t="s">
        <v>941</v>
      </c>
      <c r="AB174" s="382">
        <v>1</v>
      </c>
      <c r="AC174" s="278" t="s">
        <v>1470</v>
      </c>
      <c r="AD174" s="379">
        <v>14.715999999999999</v>
      </c>
      <c r="AE174" s="281">
        <f>IFERROR(Table5[[#This Row],[Payment Limit 2018 Q3]]/Table5[[#This Row],[HCPCS code dosage 2018 Q3]],"")</f>
        <v>14.715999999999999</v>
      </c>
      <c r="AF174" s="276"/>
      <c r="AG174" s="159"/>
      <c r="AH174" s="119"/>
      <c r="AI174" s="120"/>
      <c r="AJ174" s="120"/>
      <c r="AK174" s="160" t="str">
        <f>IFERROR(VLOOKUP(Table5[[#This Row],[HCPCS code 2019Q3]], ASP2019Q3[], 4, FALSE), "")</f>
        <v/>
      </c>
      <c r="AL174" s="161" t="str">
        <f>IFERROR(Table5[[#This Row],[Payment Limit 2019Q3]]/Table5[[#This Row],[HCPCS code dosage 2019Q3]], "")</f>
        <v/>
      </c>
      <c r="AM174" s="130"/>
      <c r="AN174" s="130"/>
      <c r="AO174" s="130"/>
      <c r="AP174" s="126" t="str">
        <f>IFERROR(VLOOKUP(Table5[[#This Row],[HCPCS code 2020Q1]], ASP2020Q1[], 4, FALSE), "")</f>
        <v/>
      </c>
      <c r="AQ174" s="141" t="str">
        <f>IFERROR(Table5[[#This Row],[Payment Limit 2020Q1]]/Table5[[#This Row],[HCPCS code dosage 2020Q1]], "")</f>
        <v/>
      </c>
      <c r="AR174" s="133"/>
      <c r="AS174" s="130"/>
      <c r="AT174" s="130"/>
      <c r="AU174" s="160" t="str">
        <f>IFERROR(VLOOKUP(Table5[[#This Row],[HCPCS code 2020Q3]], ASP2020Q3[], 4, FALSE), "")</f>
        <v/>
      </c>
      <c r="AV174" s="161" t="str">
        <f>IFERROR(Table5[[#This Row],[Payment limit 2020Q3]]/Table5[[#This Row],[HCPCS code dosage 2020Q3]],"")</f>
        <v/>
      </c>
      <c r="AW174" s="146"/>
      <c r="AX174" s="120"/>
      <c r="AY174" s="146"/>
      <c r="AZ174" s="146" t="str">
        <f>IFERROR(VLOOKUP(Table5[[#This Row],[HCPCS code 2021Q1]], ASP2021Q1[], 4, FALSE), "")</f>
        <v/>
      </c>
      <c r="BA174" s="146" t="str">
        <f>IFERROR(Table5[[#This Row],[Payment limit 2021Q1]]/Table5[[#This Row],[HCPCS code dosage 2021Q1]], "")</f>
        <v/>
      </c>
      <c r="BB174" s="148"/>
      <c r="BC174" s="120"/>
      <c r="BD174" s="146"/>
      <c r="BE174" s="146" t="str">
        <f>IFERROR(VLOOKUP(Table5[[#This Row],[HCPCS code 2021Q3]], ASP2021Q3[], 4, FALSE), "")</f>
        <v/>
      </c>
      <c r="BF174" s="146" t="str">
        <f>IFERROR(Table5[[#This Row],[Payment limit 2021Q3]]/Table5[[#This Row],[HCPCS code dosage 2021Q3]], "")</f>
        <v/>
      </c>
      <c r="BG174" s="148"/>
      <c r="BH174" s="120"/>
      <c r="BI174" s="146"/>
      <c r="BJ174" s="146" t="str">
        <f>IFERROR(VLOOKUP(Table5[[#This Row],[HCPCS code 2022Q1]], ASP2022Q1[], 4, FALSE), "")</f>
        <v/>
      </c>
      <c r="BK174" s="146" t="str">
        <f>IFERROR(Table5[[#This Row],[Payment limit 2022Q1]]/Table5[[#This Row],[HCPCS code dosage 2022Q1]], "")</f>
        <v/>
      </c>
      <c r="BL174" s="146"/>
      <c r="BM174" s="185"/>
      <c r="BN174" s="146"/>
      <c r="BO174" s="146" t="str">
        <f>IFERROR(VLOOKUP(Table5[[#This Row],[HCPCS Code 2022Q3]], ASP2022Q3[], 4, FALSE), "")</f>
        <v/>
      </c>
      <c r="BP174" s="123" t="str">
        <f>IFERROR(Table5[[#This Row],[Payment limit 2022Q3]]/Table5[[#This Row],[HCPCS code dosage 2022Q3]], "")</f>
        <v/>
      </c>
      <c r="BQ174" s="146"/>
      <c r="BR174" s="242"/>
      <c r="BS174" s="146"/>
      <c r="BT174" s="146"/>
      <c r="BU174" s="146" t="str">
        <f>IFERROR(Table5[[#This Row],[Payment limit 2023Q1]]/Table5[[#This Row],[HCPCS code dosage 2023Q1]], "")</f>
        <v/>
      </c>
      <c r="BV174" s="192"/>
    </row>
  </sheetData>
  <mergeCells count="14">
    <mergeCell ref="L1:P1"/>
    <mergeCell ref="B1:F1"/>
    <mergeCell ref="G1:K1"/>
    <mergeCell ref="Q1:U1"/>
    <mergeCell ref="BL1:BP1"/>
    <mergeCell ref="BB1:BF1"/>
    <mergeCell ref="BG1:BK1"/>
    <mergeCell ref="AH1:AL1"/>
    <mergeCell ref="AF1:AG1"/>
    <mergeCell ref="AM1:AQ1"/>
    <mergeCell ref="AR1:AV1"/>
    <mergeCell ref="AW1:BA1"/>
    <mergeCell ref="V1:Z1"/>
    <mergeCell ref="AA1:AE1"/>
  </mergeCells>
  <phoneticPr fontId="20" type="noConversion"/>
  <conditionalFormatting sqref="A3:A124 A2:F2 L2:P2">
    <cfRule type="duplicateValues" dxfId="22" priority="1"/>
  </conditionalFormatting>
  <conditionalFormatting sqref="A3:A174">
    <cfRule type="duplicateValues" dxfId="21" priority="2"/>
  </conditionalFormatting>
  <hyperlinks>
    <hyperlink ref="BV80" r:id="rId1" display="https://hcpcs.codes/j-codes/J1454/" xr:uid="{2D1909C1-C10D-4674-811B-E2A210FF3CC4}"/>
    <hyperlink ref="BV120" r:id="rId2" xr:uid="{2F5D64A2-200C-4E28-8878-F7EDF3C6D574}"/>
  </hyperlinks>
  <pageMargins left="0.7" right="0.7" top="0.75" bottom="0.75" header="0.3" footer="0.3"/>
  <pageSetup orientation="portrait" horizontalDpi="300" verticalDpi="300" r:id="rId3"/>
  <legacyDrawing r:id="rId4"/>
  <tableParts count="1">
    <tablePart r:id="rId5"/>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5BF15-72EC-4E26-8470-2A1DFC5BE5DA}">
  <dimension ref="A1:F558"/>
  <sheetViews>
    <sheetView topLeftCell="A461" workbookViewId="0">
      <selection activeCell="B479" sqref="B479"/>
    </sheetView>
  </sheetViews>
  <sheetFormatPr defaultRowHeight="14.4" x14ac:dyDescent="0.3"/>
  <cols>
    <col min="1" max="1" width="13.77734375" customWidth="1"/>
    <col min="2" max="2" width="18.44140625" customWidth="1"/>
    <col min="3" max="3" width="20.5546875" customWidth="1"/>
    <col min="4" max="4" width="15.77734375" customWidth="1"/>
  </cols>
  <sheetData>
    <row r="1" spans="1:4" x14ac:dyDescent="0.3">
      <c r="A1" s="344" t="s">
        <v>201</v>
      </c>
      <c r="B1" s="344" t="s">
        <v>202</v>
      </c>
      <c r="C1" s="344" t="s">
        <v>196</v>
      </c>
      <c r="D1" s="344" t="s">
        <v>197</v>
      </c>
    </row>
    <row r="2" spans="1:4" x14ac:dyDescent="0.3">
      <c r="A2">
        <v>90371</v>
      </c>
      <c r="B2" t="s">
        <v>203</v>
      </c>
      <c r="C2" t="s">
        <v>204</v>
      </c>
      <c r="D2">
        <v>117.116</v>
      </c>
    </row>
    <row r="3" spans="1:4" x14ac:dyDescent="0.3">
      <c r="A3">
        <v>90375</v>
      </c>
      <c r="B3" t="s">
        <v>205</v>
      </c>
      <c r="C3" t="s">
        <v>206</v>
      </c>
      <c r="D3">
        <v>295.822</v>
      </c>
    </row>
    <row r="4" spans="1:4" x14ac:dyDescent="0.3">
      <c r="A4">
        <v>90376</v>
      </c>
      <c r="B4" t="s">
        <v>207</v>
      </c>
      <c r="C4" t="s">
        <v>206</v>
      </c>
      <c r="D4">
        <v>305.44099999999997</v>
      </c>
    </row>
    <row r="5" spans="1:4" x14ac:dyDescent="0.3">
      <c r="A5">
        <v>90585</v>
      </c>
      <c r="B5" t="s">
        <v>208</v>
      </c>
      <c r="C5" t="s">
        <v>209</v>
      </c>
      <c r="D5">
        <v>138.11199999999999</v>
      </c>
    </row>
    <row r="6" spans="1:4" x14ac:dyDescent="0.3">
      <c r="A6">
        <v>90586</v>
      </c>
      <c r="B6" t="s">
        <v>210</v>
      </c>
      <c r="C6" t="s">
        <v>211</v>
      </c>
      <c r="D6">
        <v>138.11199999999999</v>
      </c>
    </row>
    <row r="7" spans="1:4" x14ac:dyDescent="0.3">
      <c r="A7">
        <v>90630</v>
      </c>
      <c r="B7" t="s">
        <v>2396</v>
      </c>
      <c r="C7" t="s">
        <v>1810</v>
      </c>
      <c r="D7">
        <v>20.343</v>
      </c>
    </row>
    <row r="8" spans="1:4" x14ac:dyDescent="0.3">
      <c r="A8">
        <v>90632</v>
      </c>
      <c r="B8" t="s">
        <v>212</v>
      </c>
      <c r="C8" t="s">
        <v>204</v>
      </c>
      <c r="D8">
        <v>56.694000000000003</v>
      </c>
    </row>
    <row r="9" spans="1:4" x14ac:dyDescent="0.3">
      <c r="A9">
        <v>90653</v>
      </c>
      <c r="B9" t="s">
        <v>213</v>
      </c>
      <c r="C9" t="s">
        <v>214</v>
      </c>
      <c r="D9">
        <v>50.216999999999999</v>
      </c>
    </row>
    <row r="10" spans="1:4" x14ac:dyDescent="0.3">
      <c r="A10">
        <v>90656</v>
      </c>
      <c r="B10" t="s">
        <v>215</v>
      </c>
      <c r="C10" t="s">
        <v>216</v>
      </c>
      <c r="D10">
        <v>19.246999999999996</v>
      </c>
    </row>
    <row r="11" spans="1:4" x14ac:dyDescent="0.3">
      <c r="A11">
        <v>90662</v>
      </c>
      <c r="B11" t="s">
        <v>217</v>
      </c>
      <c r="C11" t="s">
        <v>216</v>
      </c>
      <c r="D11">
        <v>49.024999999999999</v>
      </c>
    </row>
    <row r="12" spans="1:4" x14ac:dyDescent="0.3">
      <c r="A12">
        <v>90670</v>
      </c>
      <c r="B12" t="s">
        <v>218</v>
      </c>
      <c r="C12" t="s">
        <v>216</v>
      </c>
      <c r="D12">
        <v>205.113</v>
      </c>
    </row>
    <row r="13" spans="1:4" x14ac:dyDescent="0.3">
      <c r="A13">
        <v>90673</v>
      </c>
      <c r="B13" t="s">
        <v>2398</v>
      </c>
      <c r="C13" t="s">
        <v>216</v>
      </c>
      <c r="D13">
        <v>40.613</v>
      </c>
    </row>
    <row r="14" spans="1:4" x14ac:dyDescent="0.3">
      <c r="A14">
        <v>90674</v>
      </c>
      <c r="B14" t="s">
        <v>219</v>
      </c>
      <c r="C14" t="s">
        <v>216</v>
      </c>
      <c r="D14">
        <v>24.047000000000001</v>
      </c>
    </row>
    <row r="15" spans="1:4" x14ac:dyDescent="0.3">
      <c r="A15">
        <v>90675</v>
      </c>
      <c r="B15" t="s">
        <v>220</v>
      </c>
      <c r="C15" t="s">
        <v>204</v>
      </c>
      <c r="D15">
        <v>288.95699999999999</v>
      </c>
    </row>
    <row r="16" spans="1:4" x14ac:dyDescent="0.3">
      <c r="A16">
        <v>90682</v>
      </c>
      <c r="B16" t="s">
        <v>221</v>
      </c>
      <c r="C16" t="s">
        <v>216</v>
      </c>
      <c r="D16">
        <v>46.313000000000002</v>
      </c>
    </row>
    <row r="17" spans="1:4" x14ac:dyDescent="0.3">
      <c r="A17">
        <v>90685</v>
      </c>
      <c r="B17" t="s">
        <v>222</v>
      </c>
      <c r="C17" t="s">
        <v>223</v>
      </c>
      <c r="D17">
        <v>21.198</v>
      </c>
    </row>
    <row r="18" spans="1:4" x14ac:dyDescent="0.3">
      <c r="A18">
        <v>90686</v>
      </c>
      <c r="B18" t="s">
        <v>224</v>
      </c>
      <c r="C18" t="s">
        <v>214</v>
      </c>
      <c r="D18">
        <v>19.032</v>
      </c>
    </row>
    <row r="19" spans="1:4" x14ac:dyDescent="0.3">
      <c r="A19">
        <v>90687</v>
      </c>
      <c r="B19" t="s">
        <v>225</v>
      </c>
      <c r="C19" t="s">
        <v>226</v>
      </c>
      <c r="D19">
        <v>9.4030000000000005</v>
      </c>
    </row>
    <row r="20" spans="1:4" x14ac:dyDescent="0.3">
      <c r="A20">
        <v>90688</v>
      </c>
      <c r="B20" t="s">
        <v>227</v>
      </c>
      <c r="C20" t="s">
        <v>216</v>
      </c>
      <c r="D20">
        <v>17.835000000000001</v>
      </c>
    </row>
    <row r="21" spans="1:4" x14ac:dyDescent="0.3">
      <c r="A21">
        <v>90691</v>
      </c>
      <c r="B21" t="s">
        <v>228</v>
      </c>
      <c r="C21" t="s">
        <v>216</v>
      </c>
      <c r="D21">
        <v>111.523</v>
      </c>
    </row>
    <row r="22" spans="1:4" x14ac:dyDescent="0.3">
      <c r="A22">
        <v>90714</v>
      </c>
      <c r="B22" t="s">
        <v>229</v>
      </c>
      <c r="C22" t="s">
        <v>216</v>
      </c>
      <c r="D22">
        <v>23.718</v>
      </c>
    </row>
    <row r="23" spans="1:4" x14ac:dyDescent="0.3">
      <c r="A23">
        <v>90715</v>
      </c>
      <c r="B23" t="s">
        <v>230</v>
      </c>
      <c r="C23" t="s">
        <v>216</v>
      </c>
      <c r="D23">
        <v>30.954000000000001</v>
      </c>
    </row>
    <row r="24" spans="1:4" x14ac:dyDescent="0.3">
      <c r="A24">
        <v>90732</v>
      </c>
      <c r="B24" t="s">
        <v>231</v>
      </c>
      <c r="C24" t="s">
        <v>216</v>
      </c>
      <c r="D24">
        <v>107.74615</v>
      </c>
    </row>
    <row r="25" spans="1:4" x14ac:dyDescent="0.3">
      <c r="A25">
        <v>90739</v>
      </c>
      <c r="B25" t="s">
        <v>232</v>
      </c>
      <c r="C25" t="s">
        <v>233</v>
      </c>
      <c r="D25">
        <v>131.1</v>
      </c>
    </row>
    <row r="26" spans="1:4" x14ac:dyDescent="0.3">
      <c r="A26">
        <v>90740</v>
      </c>
      <c r="B26" t="s">
        <v>234</v>
      </c>
      <c r="C26" t="s">
        <v>235</v>
      </c>
      <c r="D26">
        <v>130.24499999999998</v>
      </c>
    </row>
    <row r="27" spans="1:4" x14ac:dyDescent="0.3">
      <c r="A27">
        <v>90743</v>
      </c>
      <c r="B27" t="s">
        <v>2399</v>
      </c>
      <c r="C27" t="s">
        <v>237</v>
      </c>
      <c r="D27">
        <v>26.135000000000002</v>
      </c>
    </row>
    <row r="28" spans="1:4" x14ac:dyDescent="0.3">
      <c r="A28">
        <v>90744</v>
      </c>
      <c r="B28" t="s">
        <v>236</v>
      </c>
      <c r="C28" t="s">
        <v>237</v>
      </c>
      <c r="D28">
        <v>26.135000000000002</v>
      </c>
    </row>
    <row r="29" spans="1:4" x14ac:dyDescent="0.3">
      <c r="A29">
        <v>90746</v>
      </c>
      <c r="B29" t="s">
        <v>238</v>
      </c>
      <c r="C29" t="s">
        <v>239</v>
      </c>
      <c r="D29">
        <v>65.123000000000005</v>
      </c>
    </row>
    <row r="30" spans="1:4" x14ac:dyDescent="0.3">
      <c r="A30">
        <v>90747</v>
      </c>
      <c r="B30" t="s">
        <v>240</v>
      </c>
      <c r="C30" t="s">
        <v>235</v>
      </c>
      <c r="D30">
        <v>130.24499999999998</v>
      </c>
    </row>
    <row r="31" spans="1:4" x14ac:dyDescent="0.3">
      <c r="A31">
        <v>90756</v>
      </c>
      <c r="B31" t="s">
        <v>241</v>
      </c>
      <c r="C31" t="s">
        <v>216</v>
      </c>
      <c r="D31">
        <v>22.792999999999999</v>
      </c>
    </row>
    <row r="32" spans="1:4" x14ac:dyDescent="0.3">
      <c r="A32" t="s">
        <v>1549</v>
      </c>
      <c r="B32" t="s">
        <v>1550</v>
      </c>
      <c r="C32" t="s">
        <v>1810</v>
      </c>
      <c r="D32">
        <v>0.19900000000000001</v>
      </c>
    </row>
    <row r="33" spans="1:6" x14ac:dyDescent="0.3">
      <c r="A33" t="s">
        <v>242</v>
      </c>
      <c r="B33" t="s">
        <v>243</v>
      </c>
      <c r="C33" t="s">
        <v>204</v>
      </c>
      <c r="D33">
        <v>1.615</v>
      </c>
    </row>
    <row r="34" spans="1:6" x14ac:dyDescent="0.3">
      <c r="A34" t="s">
        <v>244</v>
      </c>
      <c r="B34" t="s">
        <v>245</v>
      </c>
      <c r="C34" t="s">
        <v>204</v>
      </c>
      <c r="D34">
        <v>2.028</v>
      </c>
    </row>
    <row r="35" spans="1:6" x14ac:dyDescent="0.3">
      <c r="A35" t="s">
        <v>246</v>
      </c>
      <c r="B35" t="s">
        <v>247</v>
      </c>
      <c r="C35" t="s">
        <v>204</v>
      </c>
      <c r="D35">
        <v>1.952</v>
      </c>
    </row>
    <row r="36" spans="1:6" x14ac:dyDescent="0.3">
      <c r="A36" t="s">
        <v>248</v>
      </c>
      <c r="B36" t="s">
        <v>249</v>
      </c>
      <c r="C36" t="s">
        <v>204</v>
      </c>
      <c r="D36">
        <v>1.778</v>
      </c>
    </row>
    <row r="37" spans="1:6" x14ac:dyDescent="0.3">
      <c r="A37" t="s">
        <v>250</v>
      </c>
      <c r="B37" t="s">
        <v>251</v>
      </c>
      <c r="C37" t="s">
        <v>204</v>
      </c>
      <c r="D37">
        <v>14.798</v>
      </c>
    </row>
    <row r="38" spans="1:6" x14ac:dyDescent="0.3">
      <c r="A38" t="s">
        <v>252</v>
      </c>
      <c r="B38" t="s">
        <v>253</v>
      </c>
      <c r="C38" t="s">
        <v>254</v>
      </c>
      <c r="D38">
        <v>0.39200000000000002</v>
      </c>
    </row>
    <row r="39" spans="1:6" ht="129.6" x14ac:dyDescent="0.3">
      <c r="A39" t="s">
        <v>258</v>
      </c>
      <c r="B39" t="s">
        <v>259</v>
      </c>
      <c r="C39" t="s">
        <v>260</v>
      </c>
      <c r="D39" t="s">
        <v>1551</v>
      </c>
      <c r="F39" s="345" t="s">
        <v>2634</v>
      </c>
    </row>
    <row r="40" spans="1:6" x14ac:dyDescent="0.3">
      <c r="A40" t="s">
        <v>261</v>
      </c>
      <c r="B40" t="s">
        <v>262</v>
      </c>
      <c r="C40" t="s">
        <v>199</v>
      </c>
      <c r="D40">
        <v>51.628</v>
      </c>
    </row>
    <row r="41" spans="1:6" x14ac:dyDescent="0.3">
      <c r="A41" t="s">
        <v>263</v>
      </c>
      <c r="B41" t="s">
        <v>264</v>
      </c>
      <c r="C41" t="s">
        <v>199</v>
      </c>
      <c r="D41">
        <v>1285.6369999999999</v>
      </c>
    </row>
    <row r="42" spans="1:6" x14ac:dyDescent="0.3">
      <c r="A42" t="s">
        <v>265</v>
      </c>
      <c r="B42" t="s">
        <v>266</v>
      </c>
      <c r="C42" t="s">
        <v>257</v>
      </c>
      <c r="D42">
        <v>1.228</v>
      </c>
    </row>
    <row r="43" spans="1:6" x14ac:dyDescent="0.3">
      <c r="A43" t="s">
        <v>267</v>
      </c>
      <c r="B43" t="s">
        <v>268</v>
      </c>
      <c r="C43" t="s">
        <v>200</v>
      </c>
      <c r="D43">
        <v>5.1999999999999998E-2</v>
      </c>
    </row>
    <row r="44" spans="1:6" x14ac:dyDescent="0.3">
      <c r="A44" t="s">
        <v>269</v>
      </c>
      <c r="B44" t="s">
        <v>270</v>
      </c>
      <c r="C44" t="s">
        <v>198</v>
      </c>
      <c r="D44">
        <v>0.77</v>
      </c>
    </row>
    <row r="45" spans="1:6" x14ac:dyDescent="0.3">
      <c r="A45" t="s">
        <v>271</v>
      </c>
      <c r="B45" t="s">
        <v>272</v>
      </c>
      <c r="C45" t="s">
        <v>273</v>
      </c>
      <c r="D45">
        <v>0.58399999999999996</v>
      </c>
    </row>
    <row r="46" spans="1:6" x14ac:dyDescent="0.3">
      <c r="A46" t="s">
        <v>274</v>
      </c>
      <c r="B46" t="s">
        <v>275</v>
      </c>
      <c r="C46" t="s">
        <v>198</v>
      </c>
      <c r="D46">
        <v>967.673</v>
      </c>
    </row>
    <row r="47" spans="1:6" x14ac:dyDescent="0.3">
      <c r="A47" t="s">
        <v>276</v>
      </c>
      <c r="B47" t="s">
        <v>277</v>
      </c>
      <c r="C47" t="s">
        <v>198</v>
      </c>
      <c r="D47">
        <v>174.67</v>
      </c>
    </row>
    <row r="48" spans="1:6" x14ac:dyDescent="0.3">
      <c r="A48" t="s">
        <v>280</v>
      </c>
      <c r="B48" t="s">
        <v>281</v>
      </c>
      <c r="C48" t="s">
        <v>198</v>
      </c>
      <c r="D48">
        <v>1843.2760000000001</v>
      </c>
    </row>
    <row r="49" spans="1:4" x14ac:dyDescent="0.3">
      <c r="A49" t="s">
        <v>282</v>
      </c>
      <c r="B49" t="s">
        <v>283</v>
      </c>
      <c r="C49" t="s">
        <v>284</v>
      </c>
      <c r="D49">
        <v>976.55799999999999</v>
      </c>
    </row>
    <row r="50" spans="1:4" x14ac:dyDescent="0.3">
      <c r="A50" t="s">
        <v>285</v>
      </c>
      <c r="B50" t="s">
        <v>286</v>
      </c>
      <c r="C50" t="s">
        <v>199</v>
      </c>
      <c r="D50">
        <v>162.816</v>
      </c>
    </row>
    <row r="51" spans="1:4" x14ac:dyDescent="0.3">
      <c r="A51" t="s">
        <v>287</v>
      </c>
      <c r="B51" t="s">
        <v>288</v>
      </c>
      <c r="C51" t="s">
        <v>199</v>
      </c>
      <c r="D51">
        <v>4.5110000000000001</v>
      </c>
    </row>
    <row r="52" spans="1:4" x14ac:dyDescent="0.3">
      <c r="A52" t="s">
        <v>289</v>
      </c>
      <c r="B52" t="s">
        <v>290</v>
      </c>
      <c r="C52" t="s">
        <v>199</v>
      </c>
      <c r="D52">
        <v>4.7169999999999996</v>
      </c>
    </row>
    <row r="53" spans="1:4" x14ac:dyDescent="0.3">
      <c r="A53" t="s">
        <v>291</v>
      </c>
      <c r="B53" t="s">
        <v>292</v>
      </c>
      <c r="C53" t="s">
        <v>257</v>
      </c>
      <c r="D53">
        <v>1.119</v>
      </c>
    </row>
    <row r="54" spans="1:4" x14ac:dyDescent="0.3">
      <c r="A54" t="s">
        <v>293</v>
      </c>
      <c r="B54" t="s">
        <v>294</v>
      </c>
      <c r="C54" t="s">
        <v>295</v>
      </c>
      <c r="D54">
        <v>6.827</v>
      </c>
    </row>
    <row r="55" spans="1:4" x14ac:dyDescent="0.3">
      <c r="A55" t="s">
        <v>296</v>
      </c>
      <c r="B55" t="s">
        <v>297</v>
      </c>
      <c r="C55" t="s">
        <v>209</v>
      </c>
      <c r="D55">
        <v>33.68</v>
      </c>
    </row>
    <row r="56" spans="1:4" x14ac:dyDescent="0.3">
      <c r="A56" t="s">
        <v>298</v>
      </c>
      <c r="B56" t="s">
        <v>299</v>
      </c>
      <c r="C56" t="s">
        <v>199</v>
      </c>
      <c r="D56">
        <v>19.335999999999999</v>
      </c>
    </row>
    <row r="57" spans="1:4" x14ac:dyDescent="0.3">
      <c r="A57" t="s">
        <v>300</v>
      </c>
      <c r="B57" t="s">
        <v>301</v>
      </c>
      <c r="C57" t="s">
        <v>199</v>
      </c>
      <c r="D57">
        <v>48.066760000000002</v>
      </c>
    </row>
    <row r="58" spans="1:4" x14ac:dyDescent="0.3">
      <c r="A58" t="s">
        <v>302</v>
      </c>
      <c r="B58" t="s">
        <v>303</v>
      </c>
      <c r="C58" t="s">
        <v>284</v>
      </c>
      <c r="D58">
        <v>1.1160000000000001</v>
      </c>
    </row>
    <row r="59" spans="1:4" x14ac:dyDescent="0.3">
      <c r="A59" t="s">
        <v>304</v>
      </c>
      <c r="B59" t="s">
        <v>2400</v>
      </c>
      <c r="C59" t="s">
        <v>306</v>
      </c>
      <c r="D59">
        <v>2.391</v>
      </c>
    </row>
    <row r="60" spans="1:4" x14ac:dyDescent="0.3">
      <c r="A60" t="s">
        <v>307</v>
      </c>
      <c r="B60" t="s">
        <v>308</v>
      </c>
      <c r="C60" t="s">
        <v>198</v>
      </c>
      <c r="D60">
        <v>0.56200000000000006</v>
      </c>
    </row>
    <row r="61" spans="1:4" x14ac:dyDescent="0.3">
      <c r="A61" t="s">
        <v>309</v>
      </c>
      <c r="B61" t="s">
        <v>310</v>
      </c>
      <c r="C61" t="s">
        <v>311</v>
      </c>
      <c r="D61">
        <v>2.843</v>
      </c>
    </row>
    <row r="62" spans="1:4" x14ac:dyDescent="0.3">
      <c r="A62" t="s">
        <v>312</v>
      </c>
      <c r="B62" t="s">
        <v>313</v>
      </c>
      <c r="C62" t="s">
        <v>198</v>
      </c>
      <c r="D62">
        <v>5.2370000000000001</v>
      </c>
    </row>
    <row r="63" spans="1:4" x14ac:dyDescent="0.3">
      <c r="A63" t="s">
        <v>314</v>
      </c>
      <c r="B63" t="s">
        <v>315</v>
      </c>
      <c r="C63" t="s">
        <v>284</v>
      </c>
      <c r="D63">
        <v>3.0489999999999999</v>
      </c>
    </row>
    <row r="64" spans="1:4" x14ac:dyDescent="0.3">
      <c r="A64" t="s">
        <v>316</v>
      </c>
      <c r="B64" t="s">
        <v>317</v>
      </c>
      <c r="C64" t="s">
        <v>318</v>
      </c>
      <c r="D64">
        <v>6.6000000000000003E-2</v>
      </c>
    </row>
    <row r="65" spans="1:4" x14ac:dyDescent="0.3">
      <c r="A65" t="s">
        <v>319</v>
      </c>
      <c r="B65" t="s">
        <v>320</v>
      </c>
      <c r="C65" t="s">
        <v>257</v>
      </c>
      <c r="D65">
        <v>50.444000000000003</v>
      </c>
    </row>
    <row r="66" spans="1:4" x14ac:dyDescent="0.3">
      <c r="A66" t="s">
        <v>321</v>
      </c>
      <c r="B66" t="s">
        <v>322</v>
      </c>
      <c r="C66" t="s">
        <v>199</v>
      </c>
      <c r="D66">
        <v>173.31</v>
      </c>
    </row>
    <row r="67" spans="1:4" x14ac:dyDescent="0.3">
      <c r="A67" t="s">
        <v>323</v>
      </c>
      <c r="B67" t="s">
        <v>324</v>
      </c>
      <c r="C67" t="s">
        <v>325</v>
      </c>
      <c r="D67">
        <v>59.392000000000003</v>
      </c>
    </row>
    <row r="68" spans="1:4" x14ac:dyDescent="0.3">
      <c r="A68" t="s">
        <v>326</v>
      </c>
      <c r="B68" t="s">
        <v>327</v>
      </c>
      <c r="C68" t="s">
        <v>311</v>
      </c>
      <c r="D68">
        <v>3656.0070000000001</v>
      </c>
    </row>
    <row r="69" spans="1:4" x14ac:dyDescent="0.3">
      <c r="A69" t="s">
        <v>328</v>
      </c>
      <c r="B69" t="s">
        <v>329</v>
      </c>
      <c r="C69" t="s">
        <v>198</v>
      </c>
      <c r="D69">
        <v>3.8290000000000002</v>
      </c>
    </row>
    <row r="70" spans="1:4" x14ac:dyDescent="0.3">
      <c r="A70" t="s">
        <v>330</v>
      </c>
      <c r="B70" t="s">
        <v>331</v>
      </c>
      <c r="C70" t="s">
        <v>199</v>
      </c>
      <c r="D70">
        <v>43.619</v>
      </c>
    </row>
    <row r="71" spans="1:4" x14ac:dyDescent="0.3">
      <c r="A71" t="s">
        <v>332</v>
      </c>
      <c r="B71" t="s">
        <v>333</v>
      </c>
      <c r="C71" t="s">
        <v>311</v>
      </c>
      <c r="D71">
        <v>77.12</v>
      </c>
    </row>
    <row r="72" spans="1:4" x14ac:dyDescent="0.3">
      <c r="A72" t="s">
        <v>334</v>
      </c>
      <c r="B72" t="s">
        <v>335</v>
      </c>
      <c r="C72" t="s">
        <v>198</v>
      </c>
      <c r="D72">
        <v>16.677</v>
      </c>
    </row>
    <row r="73" spans="1:4" x14ac:dyDescent="0.3">
      <c r="A73" t="s">
        <v>338</v>
      </c>
      <c r="B73" t="s">
        <v>339</v>
      </c>
      <c r="C73" t="s">
        <v>340</v>
      </c>
      <c r="D73">
        <v>10.925000000000001</v>
      </c>
    </row>
    <row r="74" spans="1:4" x14ac:dyDescent="0.3">
      <c r="A74" t="s">
        <v>341</v>
      </c>
      <c r="B74" t="s">
        <v>342</v>
      </c>
      <c r="C74" t="s">
        <v>340</v>
      </c>
      <c r="D74">
        <v>13.936999999999999</v>
      </c>
    </row>
    <row r="75" spans="1:4" x14ac:dyDescent="0.3">
      <c r="A75" t="s">
        <v>345</v>
      </c>
      <c r="B75" t="s">
        <v>346</v>
      </c>
      <c r="C75" t="s">
        <v>347</v>
      </c>
      <c r="D75">
        <v>1250.924</v>
      </c>
    </row>
    <row r="76" spans="1:4" x14ac:dyDescent="0.3">
      <c r="A76" t="s">
        <v>348</v>
      </c>
      <c r="B76" t="s">
        <v>349</v>
      </c>
      <c r="C76" t="s">
        <v>198</v>
      </c>
      <c r="D76">
        <v>0.96199999999999997</v>
      </c>
    </row>
    <row r="77" spans="1:4" x14ac:dyDescent="0.3">
      <c r="A77" t="s">
        <v>352</v>
      </c>
      <c r="B77" t="s">
        <v>353</v>
      </c>
      <c r="C77" t="s">
        <v>354</v>
      </c>
      <c r="D77">
        <v>6.1580000000000004</v>
      </c>
    </row>
    <row r="78" spans="1:4" x14ac:dyDescent="0.3">
      <c r="A78" t="s">
        <v>355</v>
      </c>
      <c r="B78" t="s">
        <v>356</v>
      </c>
      <c r="C78" t="s">
        <v>357</v>
      </c>
      <c r="D78">
        <v>8.4250000000000007</v>
      </c>
    </row>
    <row r="79" spans="1:4" x14ac:dyDescent="0.3">
      <c r="A79" t="s">
        <v>358</v>
      </c>
      <c r="B79" t="s">
        <v>359</v>
      </c>
      <c r="C79" t="s">
        <v>360</v>
      </c>
      <c r="D79">
        <v>12.015000000000001</v>
      </c>
    </row>
    <row r="80" spans="1:4" x14ac:dyDescent="0.3">
      <c r="A80" t="s">
        <v>361</v>
      </c>
      <c r="B80" t="s">
        <v>362</v>
      </c>
      <c r="C80" t="s">
        <v>354</v>
      </c>
      <c r="D80">
        <v>5.0819999999999999</v>
      </c>
    </row>
    <row r="81" spans="1:4" x14ac:dyDescent="0.3">
      <c r="A81" t="s">
        <v>363</v>
      </c>
      <c r="B81" t="s">
        <v>364</v>
      </c>
      <c r="C81" t="s">
        <v>273</v>
      </c>
      <c r="D81">
        <v>3.915</v>
      </c>
    </row>
    <row r="82" spans="1:4" x14ac:dyDescent="0.3">
      <c r="A82" t="s">
        <v>365</v>
      </c>
      <c r="B82" t="s">
        <v>366</v>
      </c>
      <c r="C82" t="s">
        <v>198</v>
      </c>
      <c r="D82">
        <v>20.271000000000001</v>
      </c>
    </row>
    <row r="83" spans="1:4" x14ac:dyDescent="0.3">
      <c r="A83" t="s">
        <v>367</v>
      </c>
      <c r="B83" t="s">
        <v>368</v>
      </c>
      <c r="C83" t="s">
        <v>198</v>
      </c>
      <c r="D83">
        <v>2.3940000000000001</v>
      </c>
    </row>
    <row r="84" spans="1:4" x14ac:dyDescent="0.3">
      <c r="A84" t="s">
        <v>369</v>
      </c>
      <c r="B84" t="s">
        <v>370</v>
      </c>
      <c r="C84" t="s">
        <v>371</v>
      </c>
      <c r="D84">
        <v>27.716000000000001</v>
      </c>
    </row>
    <row r="85" spans="1:4" x14ac:dyDescent="0.3">
      <c r="A85" t="s">
        <v>372</v>
      </c>
      <c r="B85" t="s">
        <v>373</v>
      </c>
      <c r="C85" t="s">
        <v>371</v>
      </c>
      <c r="D85">
        <v>48.935000000000002</v>
      </c>
    </row>
    <row r="86" spans="1:4" x14ac:dyDescent="0.3">
      <c r="A86" t="s">
        <v>374</v>
      </c>
      <c r="B86" t="s">
        <v>375</v>
      </c>
      <c r="C86" t="s">
        <v>371</v>
      </c>
      <c r="D86">
        <v>55.941000000000003</v>
      </c>
    </row>
    <row r="87" spans="1:4" x14ac:dyDescent="0.3">
      <c r="A87" t="s">
        <v>376</v>
      </c>
      <c r="B87" t="s">
        <v>377</v>
      </c>
      <c r="C87" t="s">
        <v>378</v>
      </c>
      <c r="D87">
        <v>5594.4219999999996</v>
      </c>
    </row>
    <row r="88" spans="1:4" x14ac:dyDescent="0.3">
      <c r="A88" t="s">
        <v>379</v>
      </c>
      <c r="B88" t="s">
        <v>380</v>
      </c>
      <c r="C88" t="s">
        <v>381</v>
      </c>
      <c r="D88">
        <v>4.1609999999999996</v>
      </c>
    </row>
    <row r="89" spans="1:4" x14ac:dyDescent="0.3">
      <c r="A89" t="s">
        <v>382</v>
      </c>
      <c r="B89" t="s">
        <v>383</v>
      </c>
      <c r="C89" t="s">
        <v>384</v>
      </c>
      <c r="D89">
        <v>2606.1320000000001</v>
      </c>
    </row>
    <row r="90" spans="1:4" x14ac:dyDescent="0.3">
      <c r="A90" t="s">
        <v>385</v>
      </c>
      <c r="B90" t="s">
        <v>386</v>
      </c>
      <c r="C90" t="s">
        <v>387</v>
      </c>
      <c r="D90">
        <v>0.55500000000000005</v>
      </c>
    </row>
    <row r="91" spans="1:4" x14ac:dyDescent="0.3">
      <c r="A91" t="s">
        <v>388</v>
      </c>
      <c r="B91" t="s">
        <v>389</v>
      </c>
      <c r="C91" t="s">
        <v>200</v>
      </c>
      <c r="D91">
        <v>13.601000000000001</v>
      </c>
    </row>
    <row r="92" spans="1:4" x14ac:dyDescent="0.3">
      <c r="A92" t="s">
        <v>390</v>
      </c>
      <c r="B92" t="s">
        <v>391</v>
      </c>
      <c r="C92" t="s">
        <v>198</v>
      </c>
      <c r="D92">
        <v>110.52</v>
      </c>
    </row>
    <row r="93" spans="1:4" x14ac:dyDescent="0.3">
      <c r="A93" t="s">
        <v>392</v>
      </c>
      <c r="B93" t="s">
        <v>393</v>
      </c>
      <c r="C93" t="s">
        <v>209</v>
      </c>
      <c r="D93">
        <v>3.133</v>
      </c>
    </row>
    <row r="94" spans="1:4" x14ac:dyDescent="0.3">
      <c r="A94" t="s">
        <v>394</v>
      </c>
      <c r="B94" t="s">
        <v>395</v>
      </c>
      <c r="C94" t="s">
        <v>396</v>
      </c>
      <c r="D94">
        <v>0.23300000000000001</v>
      </c>
    </row>
    <row r="95" spans="1:4" x14ac:dyDescent="0.3">
      <c r="A95" t="s">
        <v>397</v>
      </c>
      <c r="B95" t="s">
        <v>398</v>
      </c>
      <c r="C95" t="s">
        <v>381</v>
      </c>
      <c r="D95">
        <v>2.5430000000000001</v>
      </c>
    </row>
    <row r="96" spans="1:4" x14ac:dyDescent="0.3">
      <c r="A96" t="s">
        <v>399</v>
      </c>
      <c r="B96" t="s">
        <v>400</v>
      </c>
      <c r="C96" t="s">
        <v>284</v>
      </c>
      <c r="D96">
        <v>0.77600000000000002</v>
      </c>
    </row>
    <row r="97" spans="1:4" x14ac:dyDescent="0.3">
      <c r="A97" t="s">
        <v>401</v>
      </c>
      <c r="B97" t="s">
        <v>402</v>
      </c>
      <c r="C97" t="s">
        <v>284</v>
      </c>
      <c r="D97">
        <v>2.4950000000000001</v>
      </c>
    </row>
    <row r="98" spans="1:4" x14ac:dyDescent="0.3">
      <c r="A98" t="s">
        <v>403</v>
      </c>
      <c r="B98" t="s">
        <v>404</v>
      </c>
      <c r="C98" t="s">
        <v>405</v>
      </c>
      <c r="D98">
        <v>3.8260000000000001</v>
      </c>
    </row>
    <row r="99" spans="1:4" x14ac:dyDescent="0.3">
      <c r="A99" t="s">
        <v>409</v>
      </c>
      <c r="B99" t="s">
        <v>410</v>
      </c>
      <c r="C99" t="s">
        <v>295</v>
      </c>
      <c r="D99">
        <v>0.59099999999999997</v>
      </c>
    </row>
    <row r="100" spans="1:4" x14ac:dyDescent="0.3">
      <c r="A100" t="s">
        <v>411</v>
      </c>
      <c r="B100" t="s">
        <v>412</v>
      </c>
      <c r="C100" t="s">
        <v>413</v>
      </c>
      <c r="D100">
        <v>1.99</v>
      </c>
    </row>
    <row r="101" spans="1:4" x14ac:dyDescent="0.3">
      <c r="A101" t="s">
        <v>416</v>
      </c>
      <c r="B101" t="s">
        <v>417</v>
      </c>
      <c r="C101" t="s">
        <v>418</v>
      </c>
      <c r="D101">
        <v>6.99</v>
      </c>
    </row>
    <row r="102" spans="1:4" x14ac:dyDescent="0.3">
      <c r="A102" t="s">
        <v>419</v>
      </c>
      <c r="B102" t="s">
        <v>420</v>
      </c>
      <c r="C102" t="s">
        <v>199</v>
      </c>
      <c r="D102">
        <v>2.8980000000000001</v>
      </c>
    </row>
    <row r="103" spans="1:4" x14ac:dyDescent="0.3">
      <c r="A103" t="s">
        <v>421</v>
      </c>
      <c r="B103" t="s">
        <v>422</v>
      </c>
      <c r="C103" t="s">
        <v>284</v>
      </c>
      <c r="D103">
        <v>2.319</v>
      </c>
    </row>
    <row r="104" spans="1:4" x14ac:dyDescent="0.3">
      <c r="A104" t="s">
        <v>426</v>
      </c>
      <c r="B104" t="s">
        <v>427</v>
      </c>
      <c r="C104" t="s">
        <v>198</v>
      </c>
      <c r="D104">
        <v>8.0229999999999997</v>
      </c>
    </row>
    <row r="105" spans="1:4" x14ac:dyDescent="0.3">
      <c r="A105" t="s">
        <v>428</v>
      </c>
      <c r="B105" t="s">
        <v>429</v>
      </c>
      <c r="C105" t="s">
        <v>405</v>
      </c>
      <c r="D105">
        <v>39.728999999999999</v>
      </c>
    </row>
    <row r="106" spans="1:4" x14ac:dyDescent="0.3">
      <c r="A106" t="s">
        <v>430</v>
      </c>
      <c r="B106" t="s">
        <v>431</v>
      </c>
      <c r="C106" t="s">
        <v>432</v>
      </c>
      <c r="D106">
        <v>24.113</v>
      </c>
    </row>
    <row r="107" spans="1:4" x14ac:dyDescent="0.3">
      <c r="A107" t="s">
        <v>433</v>
      </c>
      <c r="B107" t="s">
        <v>434</v>
      </c>
      <c r="C107" t="s">
        <v>198</v>
      </c>
      <c r="D107">
        <v>12.205</v>
      </c>
    </row>
    <row r="108" spans="1:4" x14ac:dyDescent="0.3">
      <c r="A108" t="s">
        <v>435</v>
      </c>
      <c r="B108" t="s">
        <v>436</v>
      </c>
      <c r="C108" t="s">
        <v>437</v>
      </c>
      <c r="D108">
        <v>466.608</v>
      </c>
    </row>
    <row r="109" spans="1:4" x14ac:dyDescent="0.3">
      <c r="A109" t="s">
        <v>438</v>
      </c>
      <c r="B109" t="s">
        <v>439</v>
      </c>
      <c r="C109" t="s">
        <v>295</v>
      </c>
      <c r="D109">
        <v>6.96</v>
      </c>
    </row>
    <row r="110" spans="1:4" x14ac:dyDescent="0.3">
      <c r="A110" t="s">
        <v>440</v>
      </c>
      <c r="B110" t="s">
        <v>441</v>
      </c>
      <c r="C110" t="s">
        <v>442</v>
      </c>
      <c r="D110">
        <v>3.2170000000000001</v>
      </c>
    </row>
    <row r="111" spans="1:4" x14ac:dyDescent="0.3">
      <c r="A111" t="s">
        <v>443</v>
      </c>
      <c r="B111" t="s">
        <v>444</v>
      </c>
      <c r="C111" t="s">
        <v>445</v>
      </c>
      <c r="D111">
        <v>16.119</v>
      </c>
    </row>
    <row r="112" spans="1:4" x14ac:dyDescent="0.3">
      <c r="A112" t="s">
        <v>446</v>
      </c>
      <c r="B112" t="s">
        <v>447</v>
      </c>
      <c r="C112" t="s">
        <v>318</v>
      </c>
      <c r="D112">
        <v>43.502000000000002</v>
      </c>
    </row>
    <row r="113" spans="1:4" x14ac:dyDescent="0.3">
      <c r="A113" t="s">
        <v>448</v>
      </c>
      <c r="B113" t="s">
        <v>449</v>
      </c>
      <c r="C113" t="s">
        <v>199</v>
      </c>
      <c r="D113">
        <v>10.052</v>
      </c>
    </row>
    <row r="114" spans="1:4" x14ac:dyDescent="0.3">
      <c r="A114" t="s">
        <v>450</v>
      </c>
      <c r="B114" t="s">
        <v>451</v>
      </c>
      <c r="C114" t="s">
        <v>452</v>
      </c>
      <c r="D114">
        <v>8.6039999999999992</v>
      </c>
    </row>
    <row r="115" spans="1:4" x14ac:dyDescent="0.3">
      <c r="A115" t="s">
        <v>453</v>
      </c>
      <c r="B115" t="s">
        <v>454</v>
      </c>
      <c r="C115" t="s">
        <v>455</v>
      </c>
      <c r="D115">
        <v>3990.1680000000001</v>
      </c>
    </row>
    <row r="116" spans="1:4" x14ac:dyDescent="0.3">
      <c r="A116" t="s">
        <v>456</v>
      </c>
      <c r="B116" t="s">
        <v>2401</v>
      </c>
      <c r="C116" t="s">
        <v>458</v>
      </c>
      <c r="D116">
        <v>33.152000000000001</v>
      </c>
    </row>
    <row r="117" spans="1:4" x14ac:dyDescent="0.3">
      <c r="A117" t="s">
        <v>459</v>
      </c>
      <c r="B117" t="s">
        <v>460</v>
      </c>
      <c r="C117" t="s">
        <v>461</v>
      </c>
      <c r="D117">
        <v>3231.9380000000001</v>
      </c>
    </row>
    <row r="118" spans="1:4" x14ac:dyDescent="0.3">
      <c r="A118" t="s">
        <v>462</v>
      </c>
      <c r="B118" t="s">
        <v>463</v>
      </c>
      <c r="C118" t="s">
        <v>464</v>
      </c>
      <c r="D118">
        <v>1129.1199999999999</v>
      </c>
    </row>
    <row r="119" spans="1:4" x14ac:dyDescent="0.3">
      <c r="A119" t="s">
        <v>465</v>
      </c>
      <c r="B119" t="s">
        <v>466</v>
      </c>
      <c r="C119" t="s">
        <v>200</v>
      </c>
      <c r="D119">
        <v>14.657999999999999</v>
      </c>
    </row>
    <row r="120" spans="1:4" x14ac:dyDescent="0.3">
      <c r="A120" t="s">
        <v>467</v>
      </c>
      <c r="B120" t="s">
        <v>468</v>
      </c>
      <c r="C120" t="s">
        <v>198</v>
      </c>
      <c r="D120">
        <v>0.35599999999999998</v>
      </c>
    </row>
    <row r="121" spans="1:4" x14ac:dyDescent="0.3">
      <c r="A121" t="s">
        <v>469</v>
      </c>
      <c r="B121" t="s">
        <v>470</v>
      </c>
      <c r="C121" t="s">
        <v>452</v>
      </c>
      <c r="D121">
        <v>3.8380000000000001</v>
      </c>
    </row>
    <row r="122" spans="1:4" x14ac:dyDescent="0.3">
      <c r="A122" t="s">
        <v>471</v>
      </c>
      <c r="B122" t="s">
        <v>472</v>
      </c>
      <c r="C122" t="s">
        <v>452</v>
      </c>
      <c r="D122">
        <v>3.8380000000000001</v>
      </c>
    </row>
    <row r="123" spans="1:4" x14ac:dyDescent="0.3">
      <c r="A123" t="s">
        <v>473</v>
      </c>
      <c r="B123" t="s">
        <v>474</v>
      </c>
      <c r="C123" t="s">
        <v>432</v>
      </c>
      <c r="D123">
        <v>13.09</v>
      </c>
    </row>
    <row r="124" spans="1:4" x14ac:dyDescent="0.3">
      <c r="A124" t="s">
        <v>475</v>
      </c>
      <c r="B124" t="s">
        <v>476</v>
      </c>
      <c r="C124" t="s">
        <v>452</v>
      </c>
      <c r="D124">
        <v>1.7869999999999999</v>
      </c>
    </row>
    <row r="125" spans="1:4" x14ac:dyDescent="0.3">
      <c r="A125" t="s">
        <v>477</v>
      </c>
      <c r="B125" t="s">
        <v>478</v>
      </c>
      <c r="C125" t="s">
        <v>452</v>
      </c>
      <c r="D125">
        <v>1.7869999999999999</v>
      </c>
    </row>
    <row r="126" spans="1:4" x14ac:dyDescent="0.3">
      <c r="A126" t="s">
        <v>479</v>
      </c>
      <c r="B126" t="s">
        <v>480</v>
      </c>
      <c r="C126" t="s">
        <v>198</v>
      </c>
      <c r="D126">
        <v>14.494999999999999</v>
      </c>
    </row>
    <row r="127" spans="1:4" x14ac:dyDescent="0.3">
      <c r="A127" t="s">
        <v>481</v>
      </c>
      <c r="B127" t="s">
        <v>482</v>
      </c>
      <c r="C127" t="s">
        <v>284</v>
      </c>
      <c r="D127">
        <v>20.161000000000001</v>
      </c>
    </row>
    <row r="128" spans="1:4" x14ac:dyDescent="0.3">
      <c r="A128" t="s">
        <v>483</v>
      </c>
      <c r="B128" t="s">
        <v>484</v>
      </c>
      <c r="C128" t="s">
        <v>198</v>
      </c>
      <c r="D128">
        <v>18.378</v>
      </c>
    </row>
    <row r="129" spans="1:4" x14ac:dyDescent="0.3">
      <c r="A129" t="s">
        <v>485</v>
      </c>
      <c r="B129" t="s">
        <v>486</v>
      </c>
      <c r="C129" t="s">
        <v>200</v>
      </c>
      <c r="D129">
        <v>21.968</v>
      </c>
    </row>
    <row r="130" spans="1:4" x14ac:dyDescent="0.3">
      <c r="A130" t="s">
        <v>487</v>
      </c>
      <c r="B130" t="s">
        <v>488</v>
      </c>
      <c r="C130" t="s">
        <v>311</v>
      </c>
      <c r="D130">
        <v>4.1769999999999996</v>
      </c>
    </row>
    <row r="131" spans="1:4" x14ac:dyDescent="0.3">
      <c r="A131" t="s">
        <v>489</v>
      </c>
      <c r="B131" t="s">
        <v>490</v>
      </c>
      <c r="C131" t="s">
        <v>491</v>
      </c>
      <c r="D131">
        <v>7.0010000000000003</v>
      </c>
    </row>
    <row r="132" spans="1:4" x14ac:dyDescent="0.3">
      <c r="A132" t="s">
        <v>492</v>
      </c>
      <c r="B132" t="s">
        <v>493</v>
      </c>
      <c r="C132" t="s">
        <v>494</v>
      </c>
      <c r="D132">
        <v>13.51</v>
      </c>
    </row>
    <row r="133" spans="1:4" x14ac:dyDescent="0.3">
      <c r="A133" t="s">
        <v>495</v>
      </c>
      <c r="B133" t="s">
        <v>496</v>
      </c>
      <c r="C133" t="s">
        <v>198</v>
      </c>
      <c r="D133">
        <v>0.56299999999999994</v>
      </c>
    </row>
    <row r="134" spans="1:4" x14ac:dyDescent="0.3">
      <c r="A134" t="s">
        <v>497</v>
      </c>
      <c r="B134" t="s">
        <v>498</v>
      </c>
      <c r="C134" t="s">
        <v>198</v>
      </c>
      <c r="D134">
        <v>2.5000000000000001E-2</v>
      </c>
    </row>
    <row r="135" spans="1:4" x14ac:dyDescent="0.3">
      <c r="A135" t="s">
        <v>499</v>
      </c>
      <c r="B135" t="s">
        <v>500</v>
      </c>
      <c r="C135" t="s">
        <v>198</v>
      </c>
      <c r="D135">
        <v>0.121</v>
      </c>
    </row>
    <row r="136" spans="1:4" x14ac:dyDescent="0.3">
      <c r="A136" t="s">
        <v>501</v>
      </c>
      <c r="B136" t="s">
        <v>502</v>
      </c>
      <c r="C136" t="s">
        <v>198</v>
      </c>
      <c r="D136">
        <v>92.188000000000002</v>
      </c>
    </row>
    <row r="137" spans="1:4" x14ac:dyDescent="0.3">
      <c r="A137" t="s">
        <v>503</v>
      </c>
      <c r="B137" t="s">
        <v>504</v>
      </c>
      <c r="C137" t="s">
        <v>284</v>
      </c>
      <c r="D137">
        <v>15.173999999999999</v>
      </c>
    </row>
    <row r="138" spans="1:4" x14ac:dyDescent="0.3">
      <c r="A138" t="s">
        <v>505</v>
      </c>
      <c r="B138" t="s">
        <v>506</v>
      </c>
      <c r="C138" t="s">
        <v>396</v>
      </c>
      <c r="D138">
        <v>6.992</v>
      </c>
    </row>
    <row r="139" spans="1:4" x14ac:dyDescent="0.3">
      <c r="A139" t="s">
        <v>507</v>
      </c>
      <c r="B139" t="s">
        <v>508</v>
      </c>
      <c r="C139" t="s">
        <v>464</v>
      </c>
      <c r="D139">
        <v>3512.183</v>
      </c>
    </row>
    <row r="140" spans="1:4" x14ac:dyDescent="0.3">
      <c r="A140" t="s">
        <v>509</v>
      </c>
      <c r="B140" t="s">
        <v>510</v>
      </c>
      <c r="C140" t="s">
        <v>209</v>
      </c>
      <c r="D140">
        <v>0.59699999999999998</v>
      </c>
    </row>
    <row r="141" spans="1:4" x14ac:dyDescent="0.3">
      <c r="A141" t="s">
        <v>511</v>
      </c>
      <c r="B141" t="s">
        <v>512</v>
      </c>
      <c r="C141" t="s">
        <v>513</v>
      </c>
      <c r="D141">
        <v>1.3740000000000001</v>
      </c>
    </row>
    <row r="142" spans="1:4" x14ac:dyDescent="0.3">
      <c r="A142" t="s">
        <v>514</v>
      </c>
      <c r="B142" t="s">
        <v>515</v>
      </c>
      <c r="C142" t="s">
        <v>295</v>
      </c>
      <c r="D142">
        <v>236.49299999999999</v>
      </c>
    </row>
    <row r="143" spans="1:4" x14ac:dyDescent="0.3">
      <c r="A143" t="s">
        <v>516</v>
      </c>
      <c r="B143" t="s">
        <v>517</v>
      </c>
      <c r="C143" t="s">
        <v>209</v>
      </c>
      <c r="D143">
        <v>0.58699999999999997</v>
      </c>
    </row>
    <row r="144" spans="1:4" x14ac:dyDescent="0.3">
      <c r="A144" t="s">
        <v>518</v>
      </c>
      <c r="B144" t="s">
        <v>519</v>
      </c>
      <c r="C144" t="s">
        <v>284</v>
      </c>
      <c r="D144">
        <v>75.313000000000002</v>
      </c>
    </row>
    <row r="145" spans="1:4" x14ac:dyDescent="0.3">
      <c r="A145" t="s">
        <v>520</v>
      </c>
      <c r="B145" t="s">
        <v>521</v>
      </c>
      <c r="C145" t="s">
        <v>522</v>
      </c>
      <c r="D145">
        <v>531.553</v>
      </c>
    </row>
    <row r="146" spans="1:4" x14ac:dyDescent="0.3">
      <c r="A146" t="s">
        <v>523</v>
      </c>
      <c r="B146" t="s">
        <v>524</v>
      </c>
      <c r="C146" t="s">
        <v>199</v>
      </c>
      <c r="D146">
        <v>17.988</v>
      </c>
    </row>
    <row r="147" spans="1:4" x14ac:dyDescent="0.3">
      <c r="A147" t="s">
        <v>525</v>
      </c>
      <c r="B147" t="s">
        <v>526</v>
      </c>
      <c r="C147" t="s">
        <v>209</v>
      </c>
      <c r="D147">
        <v>7.05</v>
      </c>
    </row>
    <row r="148" spans="1:4" x14ac:dyDescent="0.3">
      <c r="A148" t="s">
        <v>527</v>
      </c>
      <c r="B148" t="s">
        <v>528</v>
      </c>
      <c r="C148" t="s">
        <v>199</v>
      </c>
      <c r="D148">
        <v>0.80300000000000005</v>
      </c>
    </row>
    <row r="149" spans="1:4" x14ac:dyDescent="0.3">
      <c r="A149" t="s">
        <v>529</v>
      </c>
      <c r="B149" t="s">
        <v>530</v>
      </c>
      <c r="C149" t="s">
        <v>295</v>
      </c>
      <c r="D149">
        <v>5.056</v>
      </c>
    </row>
    <row r="150" spans="1:4" x14ac:dyDescent="0.3">
      <c r="A150" t="s">
        <v>531</v>
      </c>
      <c r="B150" t="s">
        <v>532</v>
      </c>
      <c r="C150" t="s">
        <v>491</v>
      </c>
      <c r="D150">
        <v>0.60299999999999998</v>
      </c>
    </row>
    <row r="151" spans="1:4" x14ac:dyDescent="0.3">
      <c r="A151" t="s">
        <v>1811</v>
      </c>
      <c r="B151" t="s">
        <v>1812</v>
      </c>
      <c r="C151" t="s">
        <v>199</v>
      </c>
      <c r="D151">
        <v>0.88490920000000006</v>
      </c>
    </row>
    <row r="152" spans="1:4" x14ac:dyDescent="0.3">
      <c r="A152" t="s">
        <v>533</v>
      </c>
      <c r="B152" t="s">
        <v>534</v>
      </c>
      <c r="C152" t="s">
        <v>452</v>
      </c>
      <c r="D152">
        <v>0.47</v>
      </c>
    </row>
    <row r="153" spans="1:4" x14ac:dyDescent="0.3">
      <c r="A153" t="s">
        <v>535</v>
      </c>
      <c r="B153" t="s">
        <v>536</v>
      </c>
      <c r="C153" t="s">
        <v>198</v>
      </c>
      <c r="D153">
        <v>476.86700000000002</v>
      </c>
    </row>
    <row r="154" spans="1:4" x14ac:dyDescent="0.3">
      <c r="A154" t="s">
        <v>537</v>
      </c>
      <c r="B154" t="s">
        <v>538</v>
      </c>
      <c r="C154" t="s">
        <v>199</v>
      </c>
      <c r="D154">
        <v>230.48</v>
      </c>
    </row>
    <row r="155" spans="1:4" x14ac:dyDescent="0.3">
      <c r="A155" t="s">
        <v>543</v>
      </c>
      <c r="B155" t="s">
        <v>544</v>
      </c>
      <c r="C155" t="s">
        <v>396</v>
      </c>
      <c r="D155">
        <v>16.077999999999999</v>
      </c>
    </row>
    <row r="156" spans="1:4" x14ac:dyDescent="0.3">
      <c r="A156" t="s">
        <v>545</v>
      </c>
      <c r="B156" t="s">
        <v>546</v>
      </c>
      <c r="C156" t="s">
        <v>284</v>
      </c>
      <c r="D156">
        <v>62.783999999999999</v>
      </c>
    </row>
    <row r="157" spans="1:4" x14ac:dyDescent="0.3">
      <c r="A157" t="s">
        <v>547</v>
      </c>
      <c r="B157" t="s">
        <v>548</v>
      </c>
      <c r="C157" t="s">
        <v>284</v>
      </c>
      <c r="D157">
        <v>78.867179999999991</v>
      </c>
    </row>
    <row r="158" spans="1:4" x14ac:dyDescent="0.3">
      <c r="A158" t="s">
        <v>549</v>
      </c>
      <c r="B158" t="s">
        <v>550</v>
      </c>
      <c r="C158" t="s">
        <v>199</v>
      </c>
      <c r="D158">
        <v>15.744</v>
      </c>
    </row>
    <row r="159" spans="1:4" x14ac:dyDescent="0.3">
      <c r="A159" t="s">
        <v>551</v>
      </c>
      <c r="B159" t="s">
        <v>552</v>
      </c>
      <c r="C159" t="s">
        <v>553</v>
      </c>
      <c r="D159">
        <v>310.39299999999997</v>
      </c>
    </row>
    <row r="160" spans="1:4" x14ac:dyDescent="0.3">
      <c r="A160" t="s">
        <v>554</v>
      </c>
      <c r="B160" t="s">
        <v>555</v>
      </c>
      <c r="C160" t="s">
        <v>257</v>
      </c>
      <c r="D160">
        <v>444.09899999999999</v>
      </c>
    </row>
    <row r="161" spans="1:4" x14ac:dyDescent="0.3">
      <c r="A161" t="s">
        <v>556</v>
      </c>
      <c r="B161" t="s">
        <v>557</v>
      </c>
      <c r="C161" t="s">
        <v>198</v>
      </c>
      <c r="D161">
        <v>1.069</v>
      </c>
    </row>
    <row r="162" spans="1:4" x14ac:dyDescent="0.3">
      <c r="A162" t="s">
        <v>558</v>
      </c>
      <c r="B162" t="s">
        <v>559</v>
      </c>
      <c r="C162" t="s">
        <v>452</v>
      </c>
      <c r="D162">
        <v>1.0229999999999999</v>
      </c>
    </row>
    <row r="163" spans="1:4" x14ac:dyDescent="0.3">
      <c r="A163" t="s">
        <v>560</v>
      </c>
      <c r="B163" t="s">
        <v>561</v>
      </c>
      <c r="C163" t="s">
        <v>452</v>
      </c>
      <c r="D163">
        <v>0.59199999999999997</v>
      </c>
    </row>
    <row r="164" spans="1:4" x14ac:dyDescent="0.3">
      <c r="A164" t="s">
        <v>562</v>
      </c>
      <c r="B164" t="s">
        <v>563</v>
      </c>
      <c r="C164" t="s">
        <v>442</v>
      </c>
      <c r="D164">
        <v>4.4889999999999999</v>
      </c>
    </row>
    <row r="165" spans="1:4" x14ac:dyDescent="0.3">
      <c r="A165" t="s">
        <v>564</v>
      </c>
      <c r="B165" t="s">
        <v>565</v>
      </c>
      <c r="C165" t="s">
        <v>198</v>
      </c>
      <c r="D165">
        <v>2.0779999999999998</v>
      </c>
    </row>
    <row r="166" spans="1:4" x14ac:dyDescent="0.3">
      <c r="A166" t="s">
        <v>568</v>
      </c>
      <c r="B166" t="s">
        <v>569</v>
      </c>
      <c r="C166" t="s">
        <v>198</v>
      </c>
      <c r="D166">
        <v>383.21300000000002</v>
      </c>
    </row>
    <row r="167" spans="1:4" x14ac:dyDescent="0.3">
      <c r="A167" t="s">
        <v>570</v>
      </c>
      <c r="B167" t="s">
        <v>571</v>
      </c>
      <c r="C167" t="s">
        <v>284</v>
      </c>
      <c r="D167">
        <v>39.67</v>
      </c>
    </row>
    <row r="168" spans="1:4" x14ac:dyDescent="0.3">
      <c r="A168" t="s">
        <v>572</v>
      </c>
      <c r="B168" t="s">
        <v>573</v>
      </c>
      <c r="C168" t="s">
        <v>574</v>
      </c>
      <c r="D168">
        <v>38.481000000000002</v>
      </c>
    </row>
    <row r="169" spans="1:4" x14ac:dyDescent="0.3">
      <c r="A169" t="s">
        <v>575</v>
      </c>
      <c r="B169" t="s">
        <v>576</v>
      </c>
      <c r="C169" t="s">
        <v>257</v>
      </c>
      <c r="D169">
        <v>13.397</v>
      </c>
    </row>
    <row r="170" spans="1:4" x14ac:dyDescent="0.3">
      <c r="A170" t="s">
        <v>577</v>
      </c>
      <c r="B170" t="s">
        <v>578</v>
      </c>
      <c r="C170" t="s">
        <v>284</v>
      </c>
      <c r="D170">
        <v>70.51597000000001</v>
      </c>
    </row>
    <row r="171" spans="1:4" x14ac:dyDescent="0.3">
      <c r="A171" t="s">
        <v>579</v>
      </c>
      <c r="B171" t="s">
        <v>580</v>
      </c>
      <c r="C171" t="s">
        <v>284</v>
      </c>
      <c r="D171">
        <v>55.771999999999998</v>
      </c>
    </row>
    <row r="172" spans="1:4" x14ac:dyDescent="0.3">
      <c r="A172" t="s">
        <v>581</v>
      </c>
      <c r="B172" t="s">
        <v>582</v>
      </c>
      <c r="C172" t="s">
        <v>257</v>
      </c>
      <c r="D172">
        <v>9.85</v>
      </c>
    </row>
    <row r="173" spans="1:4" x14ac:dyDescent="0.3">
      <c r="A173" t="s">
        <v>583</v>
      </c>
      <c r="B173" t="s">
        <v>584</v>
      </c>
      <c r="C173" t="s">
        <v>585</v>
      </c>
      <c r="D173">
        <v>384.81</v>
      </c>
    </row>
    <row r="174" spans="1:4" x14ac:dyDescent="0.3">
      <c r="A174" t="s">
        <v>586</v>
      </c>
      <c r="B174" t="s">
        <v>587</v>
      </c>
      <c r="C174" t="s">
        <v>284</v>
      </c>
      <c r="D174">
        <v>40.249000000000002</v>
      </c>
    </row>
    <row r="175" spans="1:4" x14ac:dyDescent="0.3">
      <c r="A175" t="s">
        <v>588</v>
      </c>
      <c r="B175" t="s">
        <v>589</v>
      </c>
      <c r="C175" t="s">
        <v>284</v>
      </c>
      <c r="D175">
        <v>40.008000000000003</v>
      </c>
    </row>
    <row r="176" spans="1:4" x14ac:dyDescent="0.3">
      <c r="A176" t="s">
        <v>590</v>
      </c>
      <c r="B176" t="s">
        <v>591</v>
      </c>
      <c r="C176" t="s">
        <v>284</v>
      </c>
      <c r="D176">
        <v>33.158999999999999</v>
      </c>
    </row>
    <row r="177" spans="1:4" x14ac:dyDescent="0.3">
      <c r="A177" t="s">
        <v>592</v>
      </c>
      <c r="B177" t="s">
        <v>593</v>
      </c>
      <c r="C177" t="s">
        <v>284</v>
      </c>
      <c r="D177">
        <v>46.328000000000003</v>
      </c>
    </row>
    <row r="178" spans="1:4" x14ac:dyDescent="0.3">
      <c r="A178" t="s">
        <v>594</v>
      </c>
      <c r="B178" t="s">
        <v>595</v>
      </c>
      <c r="C178" t="s">
        <v>284</v>
      </c>
      <c r="D178">
        <v>68.528999999999996</v>
      </c>
    </row>
    <row r="179" spans="1:4" x14ac:dyDescent="0.3">
      <c r="A179" t="s">
        <v>596</v>
      </c>
      <c r="B179" t="s">
        <v>597</v>
      </c>
      <c r="C179" t="s">
        <v>216</v>
      </c>
      <c r="D179">
        <v>67.888000000000005</v>
      </c>
    </row>
    <row r="180" spans="1:4" x14ac:dyDescent="0.3">
      <c r="A180" t="s">
        <v>598</v>
      </c>
      <c r="B180" t="s">
        <v>599</v>
      </c>
      <c r="C180" t="s">
        <v>284</v>
      </c>
      <c r="D180">
        <v>35.161000000000001</v>
      </c>
    </row>
    <row r="181" spans="1:4" x14ac:dyDescent="0.3">
      <c r="A181" t="s">
        <v>600</v>
      </c>
      <c r="B181" t="s">
        <v>601</v>
      </c>
      <c r="C181" t="s">
        <v>257</v>
      </c>
      <c r="D181">
        <v>14.343</v>
      </c>
    </row>
    <row r="182" spans="1:4" x14ac:dyDescent="0.3">
      <c r="A182" t="s">
        <v>602</v>
      </c>
      <c r="B182" t="s">
        <v>603</v>
      </c>
      <c r="C182" t="s">
        <v>494</v>
      </c>
      <c r="D182">
        <v>1.359</v>
      </c>
    </row>
    <row r="183" spans="1:4" x14ac:dyDescent="0.3">
      <c r="A183" t="s">
        <v>604</v>
      </c>
      <c r="B183" t="s">
        <v>605</v>
      </c>
      <c r="C183" t="s">
        <v>198</v>
      </c>
      <c r="D183">
        <v>24.300999999999998</v>
      </c>
    </row>
    <row r="184" spans="1:4" x14ac:dyDescent="0.3">
      <c r="A184" t="s">
        <v>606</v>
      </c>
      <c r="B184" t="s">
        <v>607</v>
      </c>
      <c r="C184" t="s">
        <v>198</v>
      </c>
      <c r="D184">
        <v>197.32</v>
      </c>
    </row>
    <row r="185" spans="1:4" x14ac:dyDescent="0.3">
      <c r="A185" t="s">
        <v>608</v>
      </c>
      <c r="B185" t="s">
        <v>609</v>
      </c>
      <c r="C185" t="s">
        <v>610</v>
      </c>
      <c r="D185">
        <v>0.31900000000000001</v>
      </c>
    </row>
    <row r="186" spans="1:4" x14ac:dyDescent="0.3">
      <c r="A186" t="s">
        <v>611</v>
      </c>
      <c r="B186" t="s">
        <v>612</v>
      </c>
      <c r="C186" t="s">
        <v>273</v>
      </c>
      <c r="D186">
        <v>3.8849999999999998</v>
      </c>
    </row>
    <row r="187" spans="1:4" x14ac:dyDescent="0.3">
      <c r="A187" t="s">
        <v>613</v>
      </c>
      <c r="B187" t="s">
        <v>614</v>
      </c>
      <c r="C187" t="s">
        <v>200</v>
      </c>
      <c r="D187">
        <v>0.98799999999999999</v>
      </c>
    </row>
    <row r="188" spans="1:4" x14ac:dyDescent="0.3">
      <c r="A188" t="s">
        <v>615</v>
      </c>
      <c r="B188" t="s">
        <v>616</v>
      </c>
      <c r="C188" t="s">
        <v>209</v>
      </c>
      <c r="D188">
        <v>17.984000000000002</v>
      </c>
    </row>
    <row r="189" spans="1:4" x14ac:dyDescent="0.3">
      <c r="A189" t="s">
        <v>617</v>
      </c>
      <c r="B189" t="s">
        <v>618</v>
      </c>
      <c r="C189" t="s">
        <v>198</v>
      </c>
      <c r="D189">
        <v>23.044</v>
      </c>
    </row>
    <row r="190" spans="1:4" x14ac:dyDescent="0.3">
      <c r="A190" t="s">
        <v>619</v>
      </c>
      <c r="B190" t="s">
        <v>620</v>
      </c>
      <c r="C190" t="s">
        <v>371</v>
      </c>
      <c r="D190">
        <v>0.18</v>
      </c>
    </row>
    <row r="191" spans="1:4" x14ac:dyDescent="0.3">
      <c r="A191" t="s">
        <v>621</v>
      </c>
      <c r="B191" t="s">
        <v>622</v>
      </c>
      <c r="C191" t="s">
        <v>432</v>
      </c>
      <c r="D191">
        <v>0.19900000000000001</v>
      </c>
    </row>
    <row r="192" spans="1:4" x14ac:dyDescent="0.3">
      <c r="A192" t="s">
        <v>623</v>
      </c>
      <c r="B192" t="s">
        <v>624</v>
      </c>
      <c r="C192" t="s">
        <v>625</v>
      </c>
      <c r="D192">
        <v>14.981999999999999</v>
      </c>
    </row>
    <row r="193" spans="1:4" x14ac:dyDescent="0.3">
      <c r="A193" t="s">
        <v>626</v>
      </c>
      <c r="B193" t="s">
        <v>627</v>
      </c>
      <c r="C193" t="s">
        <v>199</v>
      </c>
      <c r="D193">
        <v>0.872</v>
      </c>
    </row>
    <row r="194" spans="1:4" x14ac:dyDescent="0.3">
      <c r="A194" t="s">
        <v>628</v>
      </c>
      <c r="B194" t="s">
        <v>629</v>
      </c>
      <c r="C194" t="s">
        <v>396</v>
      </c>
      <c r="D194">
        <v>2.2829999999999999</v>
      </c>
    </row>
    <row r="195" spans="1:4" x14ac:dyDescent="0.3">
      <c r="A195" t="s">
        <v>630</v>
      </c>
      <c r="B195" t="s">
        <v>631</v>
      </c>
      <c r="C195" t="s">
        <v>632</v>
      </c>
      <c r="D195">
        <v>277.58800000000002</v>
      </c>
    </row>
    <row r="196" spans="1:4" x14ac:dyDescent="0.3">
      <c r="A196" t="s">
        <v>633</v>
      </c>
      <c r="B196" t="s">
        <v>634</v>
      </c>
      <c r="C196" t="s">
        <v>257</v>
      </c>
      <c r="D196">
        <v>13.177</v>
      </c>
    </row>
    <row r="197" spans="1:4" x14ac:dyDescent="0.3">
      <c r="A197" t="s">
        <v>635</v>
      </c>
      <c r="B197" t="s">
        <v>636</v>
      </c>
      <c r="C197" t="s">
        <v>198</v>
      </c>
      <c r="D197">
        <v>78.108999999999995</v>
      </c>
    </row>
    <row r="198" spans="1:4" x14ac:dyDescent="0.3">
      <c r="A198" t="s">
        <v>637</v>
      </c>
      <c r="B198" t="s">
        <v>638</v>
      </c>
      <c r="C198" t="s">
        <v>198</v>
      </c>
      <c r="D198">
        <v>298.65100000000001</v>
      </c>
    </row>
    <row r="199" spans="1:4" x14ac:dyDescent="0.3">
      <c r="A199" t="s">
        <v>639</v>
      </c>
      <c r="B199" t="s">
        <v>640</v>
      </c>
      <c r="C199" t="s">
        <v>198</v>
      </c>
      <c r="D199">
        <v>542.91700000000003</v>
      </c>
    </row>
    <row r="200" spans="1:4" x14ac:dyDescent="0.3">
      <c r="A200" t="s">
        <v>641</v>
      </c>
      <c r="B200" t="s">
        <v>642</v>
      </c>
      <c r="C200" t="s">
        <v>199</v>
      </c>
      <c r="D200">
        <v>83.899000000000001</v>
      </c>
    </row>
    <row r="201" spans="1:4" x14ac:dyDescent="0.3">
      <c r="A201" t="s">
        <v>643</v>
      </c>
      <c r="B201" t="s">
        <v>644</v>
      </c>
      <c r="C201" t="s">
        <v>209</v>
      </c>
      <c r="D201">
        <v>13.669</v>
      </c>
    </row>
    <row r="202" spans="1:4" x14ac:dyDescent="0.3">
      <c r="A202" t="s">
        <v>645</v>
      </c>
      <c r="B202" t="s">
        <v>646</v>
      </c>
      <c r="C202" t="s">
        <v>198</v>
      </c>
      <c r="D202">
        <v>0.23400000000000001</v>
      </c>
    </row>
    <row r="203" spans="1:4" x14ac:dyDescent="0.3">
      <c r="A203" t="s">
        <v>647</v>
      </c>
      <c r="B203" t="s">
        <v>648</v>
      </c>
      <c r="C203" t="s">
        <v>371</v>
      </c>
      <c r="D203">
        <v>41.332999999999998</v>
      </c>
    </row>
    <row r="204" spans="1:4" x14ac:dyDescent="0.3">
      <c r="A204" t="s">
        <v>649</v>
      </c>
      <c r="B204" t="s">
        <v>650</v>
      </c>
      <c r="C204" t="s">
        <v>198</v>
      </c>
      <c r="D204">
        <v>4.5339999999999998</v>
      </c>
    </row>
    <row r="205" spans="1:4" x14ac:dyDescent="0.3">
      <c r="A205" t="s">
        <v>651</v>
      </c>
      <c r="B205" t="s">
        <v>652</v>
      </c>
      <c r="C205" t="s">
        <v>653</v>
      </c>
      <c r="D205">
        <v>0.93799999999999994</v>
      </c>
    </row>
    <row r="206" spans="1:4" x14ac:dyDescent="0.3">
      <c r="A206" t="s">
        <v>654</v>
      </c>
      <c r="B206" t="s">
        <v>655</v>
      </c>
      <c r="C206" t="s">
        <v>656</v>
      </c>
      <c r="D206">
        <v>11.196999999999999</v>
      </c>
    </row>
    <row r="207" spans="1:4" x14ac:dyDescent="0.3">
      <c r="A207" t="s">
        <v>657</v>
      </c>
      <c r="B207" t="s">
        <v>658</v>
      </c>
      <c r="C207" t="s">
        <v>659</v>
      </c>
      <c r="D207">
        <v>0.56599999999999995</v>
      </c>
    </row>
    <row r="208" spans="1:4" x14ac:dyDescent="0.3">
      <c r="A208" t="s">
        <v>660</v>
      </c>
      <c r="B208" t="s">
        <v>661</v>
      </c>
      <c r="C208" t="s">
        <v>198</v>
      </c>
      <c r="D208">
        <v>58.92</v>
      </c>
    </row>
    <row r="209" spans="1:4" x14ac:dyDescent="0.3">
      <c r="A209" t="s">
        <v>662</v>
      </c>
      <c r="B209" t="s">
        <v>663</v>
      </c>
      <c r="C209" t="s">
        <v>273</v>
      </c>
      <c r="D209">
        <v>30.614999999999998</v>
      </c>
    </row>
    <row r="210" spans="1:4" x14ac:dyDescent="0.3">
      <c r="A210" t="s">
        <v>664</v>
      </c>
      <c r="B210" t="s">
        <v>665</v>
      </c>
      <c r="C210" t="s">
        <v>311</v>
      </c>
      <c r="D210">
        <v>0.875</v>
      </c>
    </row>
    <row r="211" spans="1:4" x14ac:dyDescent="0.3">
      <c r="A211" t="s">
        <v>666</v>
      </c>
      <c r="B211" t="s">
        <v>667</v>
      </c>
      <c r="C211" t="s">
        <v>198</v>
      </c>
      <c r="D211">
        <v>2.4580000000000002</v>
      </c>
    </row>
    <row r="212" spans="1:4" x14ac:dyDescent="0.3">
      <c r="A212" t="s">
        <v>668</v>
      </c>
      <c r="B212" t="s">
        <v>669</v>
      </c>
      <c r="C212" t="s">
        <v>670</v>
      </c>
      <c r="D212">
        <v>1196.9110000000001</v>
      </c>
    </row>
    <row r="213" spans="1:4" x14ac:dyDescent="0.3">
      <c r="A213" t="s">
        <v>671</v>
      </c>
      <c r="B213" t="s">
        <v>672</v>
      </c>
      <c r="C213" t="s">
        <v>199</v>
      </c>
      <c r="D213">
        <v>0.11899999999999999</v>
      </c>
    </row>
    <row r="214" spans="1:4" x14ac:dyDescent="0.3">
      <c r="A214" t="s">
        <v>673</v>
      </c>
      <c r="B214" t="s">
        <v>674</v>
      </c>
      <c r="C214" t="s">
        <v>405</v>
      </c>
      <c r="D214">
        <v>32.076000000000001</v>
      </c>
    </row>
    <row r="215" spans="1:4" x14ac:dyDescent="0.3">
      <c r="A215" t="s">
        <v>675</v>
      </c>
      <c r="B215" t="s">
        <v>676</v>
      </c>
      <c r="C215" t="s">
        <v>295</v>
      </c>
      <c r="D215">
        <v>1.254</v>
      </c>
    </row>
    <row r="216" spans="1:4" x14ac:dyDescent="0.3">
      <c r="A216" t="s">
        <v>677</v>
      </c>
      <c r="B216" t="s">
        <v>678</v>
      </c>
      <c r="C216" t="s">
        <v>458</v>
      </c>
      <c r="D216">
        <v>30.337</v>
      </c>
    </row>
    <row r="217" spans="1:4" x14ac:dyDescent="0.3">
      <c r="A217" t="s">
        <v>679</v>
      </c>
      <c r="B217" t="s">
        <v>680</v>
      </c>
      <c r="C217" t="s">
        <v>199</v>
      </c>
      <c r="D217">
        <v>2.1999999999999999E-2</v>
      </c>
    </row>
    <row r="218" spans="1:4" x14ac:dyDescent="0.3">
      <c r="A218" t="s">
        <v>681</v>
      </c>
      <c r="B218" t="s">
        <v>682</v>
      </c>
      <c r="C218" t="s">
        <v>683</v>
      </c>
      <c r="D218">
        <v>13.026</v>
      </c>
    </row>
    <row r="219" spans="1:4" x14ac:dyDescent="0.3">
      <c r="A219" t="s">
        <v>684</v>
      </c>
      <c r="B219" t="s">
        <v>685</v>
      </c>
      <c r="C219" t="s">
        <v>442</v>
      </c>
      <c r="D219">
        <v>11.917</v>
      </c>
    </row>
    <row r="220" spans="1:4" x14ac:dyDescent="0.3">
      <c r="A220" t="s">
        <v>686</v>
      </c>
      <c r="B220" t="s">
        <v>687</v>
      </c>
      <c r="C220" t="s">
        <v>688</v>
      </c>
      <c r="D220">
        <v>0.76400000000000001</v>
      </c>
    </row>
    <row r="221" spans="1:4" x14ac:dyDescent="0.3">
      <c r="A221" t="s">
        <v>689</v>
      </c>
      <c r="B221" t="s">
        <v>690</v>
      </c>
      <c r="C221" t="s">
        <v>522</v>
      </c>
      <c r="D221">
        <v>2.323</v>
      </c>
    </row>
    <row r="222" spans="1:4" x14ac:dyDescent="0.3">
      <c r="A222" t="s">
        <v>691</v>
      </c>
      <c r="B222" t="s">
        <v>692</v>
      </c>
      <c r="C222" t="s">
        <v>257</v>
      </c>
      <c r="D222">
        <v>3.7679999999999998</v>
      </c>
    </row>
    <row r="223" spans="1:4" x14ac:dyDescent="0.3">
      <c r="A223" t="s">
        <v>695</v>
      </c>
      <c r="B223" t="s">
        <v>696</v>
      </c>
      <c r="C223" t="s">
        <v>257</v>
      </c>
      <c r="D223">
        <v>0.81399999999999995</v>
      </c>
    </row>
    <row r="224" spans="1:4" x14ac:dyDescent="0.3">
      <c r="A224" t="s">
        <v>697</v>
      </c>
      <c r="B224" t="s">
        <v>698</v>
      </c>
      <c r="C224" t="s">
        <v>699</v>
      </c>
      <c r="D224">
        <v>14.805999999999999</v>
      </c>
    </row>
    <row r="225" spans="1:4" x14ac:dyDescent="0.3">
      <c r="A225" t="s">
        <v>700</v>
      </c>
      <c r="B225" t="s">
        <v>701</v>
      </c>
      <c r="C225" t="s">
        <v>198</v>
      </c>
      <c r="D225">
        <v>0.86399999999999999</v>
      </c>
    </row>
    <row r="226" spans="1:4" x14ac:dyDescent="0.3">
      <c r="A226" t="s">
        <v>702</v>
      </c>
      <c r="B226" t="s">
        <v>703</v>
      </c>
      <c r="C226" t="s">
        <v>198</v>
      </c>
      <c r="D226">
        <v>0.124</v>
      </c>
    </row>
    <row r="227" spans="1:4" x14ac:dyDescent="0.3">
      <c r="A227" t="s">
        <v>704</v>
      </c>
      <c r="B227" t="s">
        <v>705</v>
      </c>
      <c r="C227" t="s">
        <v>200</v>
      </c>
      <c r="D227">
        <v>1.657</v>
      </c>
    </row>
    <row r="228" spans="1:4" x14ac:dyDescent="0.3">
      <c r="A228" t="s">
        <v>706</v>
      </c>
      <c r="B228" t="s">
        <v>707</v>
      </c>
      <c r="C228" t="s">
        <v>199</v>
      </c>
      <c r="D228">
        <v>2.4329999999999998</v>
      </c>
    </row>
    <row r="229" spans="1:4" x14ac:dyDescent="0.3">
      <c r="A229" t="s">
        <v>708</v>
      </c>
      <c r="B229" t="s">
        <v>709</v>
      </c>
      <c r="C229" t="s">
        <v>199</v>
      </c>
      <c r="D229">
        <v>11.425000000000001</v>
      </c>
    </row>
    <row r="230" spans="1:4" x14ac:dyDescent="0.3">
      <c r="A230" t="s">
        <v>710</v>
      </c>
      <c r="B230" t="s">
        <v>711</v>
      </c>
      <c r="C230" t="s">
        <v>452</v>
      </c>
      <c r="D230">
        <v>7.5789999999999997</v>
      </c>
    </row>
    <row r="231" spans="1:4" x14ac:dyDescent="0.3">
      <c r="A231" t="s">
        <v>712</v>
      </c>
      <c r="B231" t="s">
        <v>713</v>
      </c>
      <c r="C231" t="s">
        <v>257</v>
      </c>
      <c r="D231">
        <v>9.73</v>
      </c>
    </row>
    <row r="232" spans="1:4" x14ac:dyDescent="0.3">
      <c r="A232" t="s">
        <v>714</v>
      </c>
      <c r="B232" t="s">
        <v>715</v>
      </c>
      <c r="C232" t="s">
        <v>199</v>
      </c>
      <c r="D232">
        <v>2.903</v>
      </c>
    </row>
    <row r="233" spans="1:4" x14ac:dyDescent="0.3">
      <c r="A233" t="s">
        <v>716</v>
      </c>
      <c r="B233" t="s">
        <v>717</v>
      </c>
      <c r="C233" t="s">
        <v>198</v>
      </c>
      <c r="D233">
        <v>23.867000000000001</v>
      </c>
    </row>
    <row r="234" spans="1:4" x14ac:dyDescent="0.3">
      <c r="A234" t="s">
        <v>718</v>
      </c>
      <c r="B234" t="s">
        <v>719</v>
      </c>
      <c r="C234" t="s">
        <v>198</v>
      </c>
      <c r="D234">
        <v>3.2629999999999999</v>
      </c>
    </row>
    <row r="235" spans="1:4" x14ac:dyDescent="0.3">
      <c r="A235" t="s">
        <v>720</v>
      </c>
      <c r="B235" t="s">
        <v>721</v>
      </c>
      <c r="C235" t="s">
        <v>198</v>
      </c>
      <c r="D235">
        <v>19.901</v>
      </c>
    </row>
    <row r="236" spans="1:4" x14ac:dyDescent="0.3">
      <c r="A236" t="s">
        <v>722</v>
      </c>
      <c r="B236" t="s">
        <v>723</v>
      </c>
      <c r="C236" t="s">
        <v>198</v>
      </c>
      <c r="D236">
        <v>57.173999999999999</v>
      </c>
    </row>
    <row r="237" spans="1:4" x14ac:dyDescent="0.3">
      <c r="A237" t="s">
        <v>724</v>
      </c>
      <c r="B237" t="s">
        <v>725</v>
      </c>
      <c r="C237" t="s">
        <v>198</v>
      </c>
      <c r="D237">
        <v>199.03100000000001</v>
      </c>
    </row>
    <row r="238" spans="1:4" x14ac:dyDescent="0.3">
      <c r="A238" t="s">
        <v>726</v>
      </c>
      <c r="B238" t="s">
        <v>727</v>
      </c>
      <c r="C238" t="s">
        <v>728</v>
      </c>
      <c r="D238">
        <v>0.92900000000000005</v>
      </c>
    </row>
    <row r="239" spans="1:4" x14ac:dyDescent="0.3">
      <c r="A239" t="s">
        <v>2404</v>
      </c>
      <c r="B239" t="s">
        <v>2405</v>
      </c>
      <c r="C239" t="s">
        <v>200</v>
      </c>
      <c r="D239">
        <v>426.91500000000002</v>
      </c>
    </row>
    <row r="240" spans="1:4" x14ac:dyDescent="0.3">
      <c r="A240" t="s">
        <v>729</v>
      </c>
      <c r="B240" t="s">
        <v>730</v>
      </c>
      <c r="C240" t="s">
        <v>200</v>
      </c>
      <c r="D240">
        <v>36.334000000000003</v>
      </c>
    </row>
    <row r="241" spans="1:4" x14ac:dyDescent="0.3">
      <c r="A241" t="s">
        <v>731</v>
      </c>
      <c r="B241" t="s">
        <v>732</v>
      </c>
      <c r="C241" t="s">
        <v>198</v>
      </c>
      <c r="D241">
        <v>2.9169999999999998</v>
      </c>
    </row>
    <row r="242" spans="1:4" x14ac:dyDescent="0.3">
      <c r="A242" t="s">
        <v>733</v>
      </c>
      <c r="B242" t="s">
        <v>734</v>
      </c>
      <c r="C242" t="s">
        <v>735</v>
      </c>
      <c r="D242">
        <v>6.3879999999999999</v>
      </c>
    </row>
    <row r="243" spans="1:4" x14ac:dyDescent="0.3">
      <c r="A243" t="s">
        <v>736</v>
      </c>
      <c r="B243" t="s">
        <v>737</v>
      </c>
      <c r="C243" t="s">
        <v>738</v>
      </c>
      <c r="D243">
        <v>18.788</v>
      </c>
    </row>
    <row r="244" spans="1:4" x14ac:dyDescent="0.3">
      <c r="A244" t="s">
        <v>739</v>
      </c>
      <c r="B244" t="s">
        <v>740</v>
      </c>
      <c r="C244" t="s">
        <v>198</v>
      </c>
      <c r="D244">
        <v>7.9000000000000001E-2</v>
      </c>
    </row>
    <row r="245" spans="1:4" x14ac:dyDescent="0.3">
      <c r="A245" t="s">
        <v>741</v>
      </c>
      <c r="B245" t="s">
        <v>742</v>
      </c>
      <c r="C245" t="s">
        <v>199</v>
      </c>
      <c r="D245">
        <v>23.385999999999999</v>
      </c>
    </row>
    <row r="246" spans="1:4" x14ac:dyDescent="0.3">
      <c r="A246" t="s">
        <v>743</v>
      </c>
      <c r="B246" t="s">
        <v>744</v>
      </c>
      <c r="C246" t="s">
        <v>325</v>
      </c>
      <c r="D246">
        <v>20.338000000000001</v>
      </c>
    </row>
    <row r="247" spans="1:4" x14ac:dyDescent="0.3">
      <c r="A247" t="s">
        <v>745</v>
      </c>
      <c r="B247" t="s">
        <v>746</v>
      </c>
      <c r="C247" t="s">
        <v>198</v>
      </c>
      <c r="D247">
        <v>10.877000000000001</v>
      </c>
    </row>
    <row r="248" spans="1:4" x14ac:dyDescent="0.3">
      <c r="A248" t="s">
        <v>747</v>
      </c>
      <c r="B248" t="s">
        <v>748</v>
      </c>
      <c r="C248" t="s">
        <v>749</v>
      </c>
      <c r="D248">
        <v>10.048999999999999</v>
      </c>
    </row>
    <row r="249" spans="1:4" x14ac:dyDescent="0.3">
      <c r="A249" t="s">
        <v>750</v>
      </c>
      <c r="B249" t="s">
        <v>751</v>
      </c>
      <c r="C249" t="s">
        <v>728</v>
      </c>
      <c r="D249">
        <v>22.603999999999999</v>
      </c>
    </row>
    <row r="250" spans="1:4" x14ac:dyDescent="0.3">
      <c r="A250" t="s">
        <v>752</v>
      </c>
      <c r="B250" t="s">
        <v>753</v>
      </c>
      <c r="C250" t="s">
        <v>452</v>
      </c>
      <c r="D250">
        <v>0.745</v>
      </c>
    </row>
    <row r="251" spans="1:4" x14ac:dyDescent="0.3">
      <c r="A251" t="s">
        <v>754</v>
      </c>
      <c r="B251" t="s">
        <v>755</v>
      </c>
      <c r="C251" t="s">
        <v>756</v>
      </c>
      <c r="D251">
        <v>717.86500000000001</v>
      </c>
    </row>
    <row r="252" spans="1:4" x14ac:dyDescent="0.3">
      <c r="A252" t="s">
        <v>757</v>
      </c>
      <c r="B252" t="s">
        <v>758</v>
      </c>
      <c r="C252" t="s">
        <v>759</v>
      </c>
      <c r="D252">
        <v>367.96100000000001</v>
      </c>
    </row>
    <row r="253" spans="1:4" x14ac:dyDescent="0.3">
      <c r="A253" t="s">
        <v>760</v>
      </c>
      <c r="B253" t="s">
        <v>761</v>
      </c>
      <c r="C253" t="s">
        <v>762</v>
      </c>
      <c r="D253">
        <v>4720.8429999999998</v>
      </c>
    </row>
    <row r="254" spans="1:4" x14ac:dyDescent="0.3">
      <c r="A254" t="s">
        <v>763</v>
      </c>
      <c r="B254" t="s">
        <v>764</v>
      </c>
      <c r="C254" t="s">
        <v>198</v>
      </c>
      <c r="D254">
        <v>2322.0630000000001</v>
      </c>
    </row>
    <row r="255" spans="1:4" x14ac:dyDescent="0.3">
      <c r="A255" t="s">
        <v>765</v>
      </c>
      <c r="B255" t="s">
        <v>766</v>
      </c>
      <c r="C255" t="s">
        <v>767</v>
      </c>
      <c r="D255">
        <v>29.294690000000003</v>
      </c>
    </row>
    <row r="256" spans="1:4" x14ac:dyDescent="0.3">
      <c r="A256" t="s">
        <v>768</v>
      </c>
      <c r="B256" t="s">
        <v>769</v>
      </c>
      <c r="C256" t="s">
        <v>209</v>
      </c>
      <c r="D256">
        <v>49.201000000000001</v>
      </c>
    </row>
    <row r="257" spans="1:4" x14ac:dyDescent="0.3">
      <c r="A257" t="s">
        <v>770</v>
      </c>
      <c r="B257" t="s">
        <v>771</v>
      </c>
      <c r="C257" t="s">
        <v>767</v>
      </c>
      <c r="D257">
        <v>1.085</v>
      </c>
    </row>
    <row r="258" spans="1:4" x14ac:dyDescent="0.3">
      <c r="A258" t="s">
        <v>772</v>
      </c>
      <c r="B258" t="s">
        <v>773</v>
      </c>
      <c r="C258" t="s">
        <v>774</v>
      </c>
      <c r="D258">
        <v>2.726</v>
      </c>
    </row>
    <row r="259" spans="1:4" x14ac:dyDescent="0.3">
      <c r="A259" t="s">
        <v>775</v>
      </c>
      <c r="B259" t="s">
        <v>776</v>
      </c>
      <c r="C259" t="s">
        <v>683</v>
      </c>
      <c r="D259">
        <v>115.476</v>
      </c>
    </row>
    <row r="260" spans="1:4" x14ac:dyDescent="0.3">
      <c r="A260" t="s">
        <v>777</v>
      </c>
      <c r="B260" t="s">
        <v>778</v>
      </c>
      <c r="C260" t="s">
        <v>209</v>
      </c>
      <c r="D260">
        <v>1.925</v>
      </c>
    </row>
    <row r="261" spans="1:4" x14ac:dyDescent="0.3">
      <c r="A261" t="s">
        <v>779</v>
      </c>
      <c r="B261" t="s">
        <v>780</v>
      </c>
      <c r="C261" t="s">
        <v>781</v>
      </c>
      <c r="D261">
        <v>38.167000000000002</v>
      </c>
    </row>
    <row r="262" spans="1:4" x14ac:dyDescent="0.3">
      <c r="A262" t="s">
        <v>782</v>
      </c>
      <c r="B262" t="s">
        <v>783</v>
      </c>
      <c r="C262" t="s">
        <v>198</v>
      </c>
      <c r="D262">
        <v>329.81299999999999</v>
      </c>
    </row>
    <row r="263" spans="1:4" x14ac:dyDescent="0.3">
      <c r="A263" t="s">
        <v>784</v>
      </c>
      <c r="B263" t="s">
        <v>785</v>
      </c>
      <c r="C263" t="s">
        <v>452</v>
      </c>
      <c r="D263">
        <v>12.903</v>
      </c>
    </row>
    <row r="264" spans="1:4" x14ac:dyDescent="0.3">
      <c r="A264" t="s">
        <v>786</v>
      </c>
      <c r="B264" t="s">
        <v>787</v>
      </c>
      <c r="C264" t="s">
        <v>209</v>
      </c>
      <c r="D264">
        <v>1.1020000000000001</v>
      </c>
    </row>
    <row r="265" spans="1:4" x14ac:dyDescent="0.3">
      <c r="A265" t="s">
        <v>788</v>
      </c>
      <c r="B265" t="s">
        <v>789</v>
      </c>
      <c r="C265" t="s">
        <v>553</v>
      </c>
      <c r="D265">
        <v>13.938000000000001</v>
      </c>
    </row>
    <row r="266" spans="1:4" x14ac:dyDescent="0.3">
      <c r="A266" t="s">
        <v>790</v>
      </c>
      <c r="B266" t="s">
        <v>791</v>
      </c>
      <c r="C266" t="s">
        <v>405</v>
      </c>
      <c r="D266">
        <v>69.233999999999995</v>
      </c>
    </row>
    <row r="267" spans="1:4" x14ac:dyDescent="0.3">
      <c r="A267" t="s">
        <v>792</v>
      </c>
      <c r="B267" t="s">
        <v>793</v>
      </c>
      <c r="C267" t="s">
        <v>295</v>
      </c>
      <c r="D267">
        <v>2.266</v>
      </c>
    </row>
    <row r="268" spans="1:4" x14ac:dyDescent="0.3">
      <c r="A268" t="s">
        <v>794</v>
      </c>
      <c r="B268" t="s">
        <v>795</v>
      </c>
      <c r="C268" t="s">
        <v>199</v>
      </c>
      <c r="D268">
        <v>0.11799999999999999</v>
      </c>
    </row>
    <row r="269" spans="1:4" x14ac:dyDescent="0.3">
      <c r="A269" t="s">
        <v>796</v>
      </c>
      <c r="B269" t="s">
        <v>797</v>
      </c>
      <c r="C269" t="s">
        <v>199</v>
      </c>
      <c r="D269">
        <v>1.145</v>
      </c>
    </row>
    <row r="270" spans="1:4" x14ac:dyDescent="0.3">
      <c r="A270" t="s">
        <v>798</v>
      </c>
      <c r="B270" t="s">
        <v>799</v>
      </c>
      <c r="C270" t="s">
        <v>371</v>
      </c>
      <c r="D270">
        <v>15.336</v>
      </c>
    </row>
    <row r="271" spans="1:4" x14ac:dyDescent="0.3">
      <c r="A271" t="s">
        <v>802</v>
      </c>
      <c r="B271" t="s">
        <v>803</v>
      </c>
      <c r="C271" t="s">
        <v>199</v>
      </c>
      <c r="D271">
        <v>0.85299999999999998</v>
      </c>
    </row>
    <row r="272" spans="1:4" x14ac:dyDescent="0.3">
      <c r="A272" t="s">
        <v>804</v>
      </c>
      <c r="B272" t="s">
        <v>805</v>
      </c>
      <c r="C272" t="s">
        <v>284</v>
      </c>
      <c r="D272">
        <v>418.59100000000001</v>
      </c>
    </row>
    <row r="273" spans="1:4" x14ac:dyDescent="0.3">
      <c r="A273" t="s">
        <v>806</v>
      </c>
      <c r="B273" t="s">
        <v>807</v>
      </c>
      <c r="C273" t="s">
        <v>808</v>
      </c>
      <c r="D273">
        <v>373.5</v>
      </c>
    </row>
    <row r="274" spans="1:4" x14ac:dyDescent="0.3">
      <c r="A274" t="s">
        <v>809</v>
      </c>
      <c r="B274" t="s">
        <v>810</v>
      </c>
      <c r="C274" t="s">
        <v>553</v>
      </c>
      <c r="D274">
        <v>5.4509999999999996</v>
      </c>
    </row>
    <row r="275" spans="1:4" x14ac:dyDescent="0.3">
      <c r="A275" t="s">
        <v>811</v>
      </c>
      <c r="B275" t="s">
        <v>812</v>
      </c>
      <c r="C275" t="s">
        <v>396</v>
      </c>
      <c r="D275">
        <v>271.64499999999998</v>
      </c>
    </row>
    <row r="276" spans="1:4" x14ac:dyDescent="0.3">
      <c r="A276" t="s">
        <v>813</v>
      </c>
      <c r="B276" t="s">
        <v>814</v>
      </c>
      <c r="C276" t="s">
        <v>273</v>
      </c>
      <c r="D276">
        <v>56.497999999999998</v>
      </c>
    </row>
    <row r="277" spans="1:4" x14ac:dyDescent="0.3">
      <c r="A277" t="s">
        <v>817</v>
      </c>
      <c r="B277" t="s">
        <v>818</v>
      </c>
      <c r="C277" t="s">
        <v>819</v>
      </c>
      <c r="D277">
        <v>25.375</v>
      </c>
    </row>
    <row r="278" spans="1:4" x14ac:dyDescent="0.3">
      <c r="A278" t="s">
        <v>820</v>
      </c>
      <c r="B278" t="s">
        <v>821</v>
      </c>
      <c r="C278" t="s">
        <v>822</v>
      </c>
      <c r="D278">
        <v>87.864000000000004</v>
      </c>
    </row>
    <row r="279" spans="1:4" x14ac:dyDescent="0.3">
      <c r="A279" t="s">
        <v>823</v>
      </c>
      <c r="B279" t="s">
        <v>824</v>
      </c>
      <c r="C279" t="s">
        <v>825</v>
      </c>
      <c r="D279">
        <v>4.8479999999999999</v>
      </c>
    </row>
    <row r="280" spans="1:4" x14ac:dyDescent="0.3">
      <c r="A280" t="s">
        <v>826</v>
      </c>
      <c r="B280" t="s">
        <v>827</v>
      </c>
      <c r="C280" t="s">
        <v>825</v>
      </c>
      <c r="D280">
        <v>27.315999999999999</v>
      </c>
    </row>
    <row r="281" spans="1:4" x14ac:dyDescent="0.3">
      <c r="A281" t="s">
        <v>828</v>
      </c>
      <c r="B281" t="s">
        <v>829</v>
      </c>
      <c r="C281" t="s">
        <v>396</v>
      </c>
      <c r="D281">
        <v>9.4019999999999992</v>
      </c>
    </row>
    <row r="282" spans="1:4" x14ac:dyDescent="0.3">
      <c r="A282" t="s">
        <v>830</v>
      </c>
      <c r="B282" t="s">
        <v>831</v>
      </c>
      <c r="C282" t="s">
        <v>198</v>
      </c>
      <c r="D282">
        <v>7.9000000000000001E-2</v>
      </c>
    </row>
    <row r="283" spans="1:4" x14ac:dyDescent="0.3">
      <c r="A283" t="s">
        <v>832</v>
      </c>
      <c r="B283" t="s">
        <v>833</v>
      </c>
      <c r="C283" t="s">
        <v>834</v>
      </c>
      <c r="D283">
        <v>70.548000000000002</v>
      </c>
    </row>
    <row r="284" spans="1:4" x14ac:dyDescent="0.3">
      <c r="A284" t="s">
        <v>835</v>
      </c>
      <c r="B284" t="s">
        <v>836</v>
      </c>
      <c r="C284" t="s">
        <v>381</v>
      </c>
      <c r="D284">
        <v>24.126999999999999</v>
      </c>
    </row>
    <row r="285" spans="1:4" x14ac:dyDescent="0.3">
      <c r="A285" t="s">
        <v>837</v>
      </c>
      <c r="B285" t="s">
        <v>838</v>
      </c>
      <c r="C285" t="s">
        <v>839</v>
      </c>
      <c r="D285">
        <v>106.649</v>
      </c>
    </row>
    <row r="286" spans="1:4" x14ac:dyDescent="0.3">
      <c r="A286" t="s">
        <v>840</v>
      </c>
      <c r="B286" t="s">
        <v>841</v>
      </c>
      <c r="C286" t="s">
        <v>491</v>
      </c>
      <c r="D286">
        <v>0.307</v>
      </c>
    </row>
    <row r="287" spans="1:4" x14ac:dyDescent="0.3">
      <c r="A287" t="s">
        <v>842</v>
      </c>
      <c r="B287" t="s">
        <v>843</v>
      </c>
      <c r="C287" t="s">
        <v>325</v>
      </c>
      <c r="D287">
        <v>37.152999999999999</v>
      </c>
    </row>
    <row r="288" spans="1:4" x14ac:dyDescent="0.3">
      <c r="A288" t="s">
        <v>846</v>
      </c>
      <c r="B288" t="s">
        <v>847</v>
      </c>
      <c r="C288" t="s">
        <v>848</v>
      </c>
      <c r="D288">
        <v>2.1789999999999998</v>
      </c>
    </row>
    <row r="289" spans="1:4" x14ac:dyDescent="0.3">
      <c r="A289" t="s">
        <v>849</v>
      </c>
      <c r="B289" t="s">
        <v>850</v>
      </c>
      <c r="C289" t="s">
        <v>491</v>
      </c>
      <c r="D289">
        <v>4.8049999999999997</v>
      </c>
    </row>
    <row r="290" spans="1:4" x14ac:dyDescent="0.3">
      <c r="A290" t="s">
        <v>851</v>
      </c>
      <c r="B290" t="s">
        <v>850</v>
      </c>
      <c r="C290" t="s">
        <v>852</v>
      </c>
      <c r="D290">
        <v>6.9649999999999999</v>
      </c>
    </row>
    <row r="291" spans="1:4" x14ac:dyDescent="0.3">
      <c r="A291" t="s">
        <v>853</v>
      </c>
      <c r="B291" t="s">
        <v>854</v>
      </c>
      <c r="C291" t="s">
        <v>198</v>
      </c>
      <c r="D291">
        <v>87.62</v>
      </c>
    </row>
    <row r="292" spans="1:4" x14ac:dyDescent="0.3">
      <c r="A292" t="s">
        <v>855</v>
      </c>
      <c r="B292" t="s">
        <v>856</v>
      </c>
      <c r="C292" t="s">
        <v>405</v>
      </c>
      <c r="D292">
        <v>16.459</v>
      </c>
    </row>
    <row r="293" spans="1:4" x14ac:dyDescent="0.3">
      <c r="A293" t="s">
        <v>857</v>
      </c>
      <c r="B293" t="s">
        <v>858</v>
      </c>
      <c r="C293" t="s">
        <v>273</v>
      </c>
      <c r="D293">
        <v>0.59499999999999997</v>
      </c>
    </row>
    <row r="294" spans="1:4" x14ac:dyDescent="0.3">
      <c r="A294" t="s">
        <v>859</v>
      </c>
      <c r="B294" t="s">
        <v>860</v>
      </c>
      <c r="C294" t="s">
        <v>371</v>
      </c>
      <c r="D294">
        <v>40.39</v>
      </c>
    </row>
    <row r="295" spans="1:4" x14ac:dyDescent="0.3">
      <c r="A295" t="s">
        <v>861</v>
      </c>
      <c r="B295" t="s">
        <v>862</v>
      </c>
      <c r="C295" t="s">
        <v>749</v>
      </c>
      <c r="D295">
        <v>108.38500000000001</v>
      </c>
    </row>
    <row r="296" spans="1:4" x14ac:dyDescent="0.3">
      <c r="A296" t="s">
        <v>863</v>
      </c>
      <c r="B296" t="s">
        <v>864</v>
      </c>
      <c r="C296" t="s">
        <v>198</v>
      </c>
      <c r="D296">
        <v>1.4370000000000001</v>
      </c>
    </row>
    <row r="297" spans="1:4" x14ac:dyDescent="0.3">
      <c r="A297" t="s">
        <v>865</v>
      </c>
      <c r="B297" t="s">
        <v>866</v>
      </c>
      <c r="C297" t="s">
        <v>199</v>
      </c>
      <c r="D297">
        <v>5.4870000000000001</v>
      </c>
    </row>
    <row r="298" spans="1:4" x14ac:dyDescent="0.3">
      <c r="A298" t="s">
        <v>867</v>
      </c>
      <c r="B298" t="s">
        <v>868</v>
      </c>
      <c r="C298" t="s">
        <v>198</v>
      </c>
      <c r="D298">
        <v>121.02500000000001</v>
      </c>
    </row>
    <row r="299" spans="1:4" x14ac:dyDescent="0.3">
      <c r="A299" t="s">
        <v>869</v>
      </c>
      <c r="B299" t="s">
        <v>870</v>
      </c>
      <c r="C299" t="s">
        <v>198</v>
      </c>
      <c r="D299">
        <v>2.895</v>
      </c>
    </row>
    <row r="300" spans="1:4" x14ac:dyDescent="0.3">
      <c r="A300" t="s">
        <v>871</v>
      </c>
      <c r="B300" t="s">
        <v>872</v>
      </c>
      <c r="C300" t="s">
        <v>198</v>
      </c>
      <c r="D300">
        <v>3.7999999999999999E-2</v>
      </c>
    </row>
    <row r="301" spans="1:4" x14ac:dyDescent="0.3">
      <c r="A301" t="s">
        <v>875</v>
      </c>
      <c r="B301" t="s">
        <v>876</v>
      </c>
      <c r="C301" t="s">
        <v>209</v>
      </c>
      <c r="D301">
        <v>29.344999999999999</v>
      </c>
    </row>
    <row r="302" spans="1:4" x14ac:dyDescent="0.3">
      <c r="A302" t="s">
        <v>877</v>
      </c>
      <c r="B302" t="s">
        <v>878</v>
      </c>
      <c r="C302" t="s">
        <v>879</v>
      </c>
      <c r="D302">
        <v>1608.7149999999999</v>
      </c>
    </row>
    <row r="303" spans="1:4" x14ac:dyDescent="0.3">
      <c r="A303" t="s">
        <v>880</v>
      </c>
      <c r="B303" t="s">
        <v>881</v>
      </c>
      <c r="C303" t="s">
        <v>198</v>
      </c>
      <c r="D303">
        <v>2.2559999999999998</v>
      </c>
    </row>
    <row r="304" spans="1:4" x14ac:dyDescent="0.3">
      <c r="A304" t="s">
        <v>884</v>
      </c>
      <c r="B304" t="s">
        <v>885</v>
      </c>
      <c r="C304" t="s">
        <v>442</v>
      </c>
      <c r="D304">
        <v>32.237000000000002</v>
      </c>
    </row>
    <row r="305" spans="1:4" x14ac:dyDescent="0.3">
      <c r="A305" t="s">
        <v>886</v>
      </c>
      <c r="B305" t="s">
        <v>887</v>
      </c>
      <c r="C305" t="s">
        <v>494</v>
      </c>
      <c r="D305">
        <v>3.0030000000000001</v>
      </c>
    </row>
    <row r="306" spans="1:4" x14ac:dyDescent="0.3">
      <c r="A306" t="s">
        <v>888</v>
      </c>
      <c r="B306" t="s">
        <v>889</v>
      </c>
      <c r="C306" t="s">
        <v>198</v>
      </c>
      <c r="D306">
        <v>4.7190000000000003</v>
      </c>
    </row>
    <row r="307" spans="1:4" x14ac:dyDescent="0.3">
      <c r="A307" t="s">
        <v>890</v>
      </c>
      <c r="B307" t="s">
        <v>891</v>
      </c>
      <c r="C307" t="s">
        <v>198</v>
      </c>
      <c r="D307">
        <v>61.237000000000002</v>
      </c>
    </row>
    <row r="308" spans="1:4" x14ac:dyDescent="0.3">
      <c r="A308" t="s">
        <v>892</v>
      </c>
      <c r="B308" t="s">
        <v>893</v>
      </c>
      <c r="C308" t="s">
        <v>198</v>
      </c>
      <c r="D308">
        <v>3.8570000000000002</v>
      </c>
    </row>
    <row r="309" spans="1:4" x14ac:dyDescent="0.3">
      <c r="A309" t="s">
        <v>894</v>
      </c>
      <c r="B309" t="s">
        <v>895</v>
      </c>
      <c r="C309" t="s">
        <v>199</v>
      </c>
      <c r="D309">
        <v>1.766</v>
      </c>
    </row>
    <row r="310" spans="1:4" x14ac:dyDescent="0.3">
      <c r="A310" t="s">
        <v>898</v>
      </c>
      <c r="B310" t="s">
        <v>899</v>
      </c>
      <c r="C310" t="s">
        <v>670</v>
      </c>
      <c r="D310">
        <v>262.096</v>
      </c>
    </row>
    <row r="311" spans="1:4" x14ac:dyDescent="0.3">
      <c r="A311" t="s">
        <v>900</v>
      </c>
      <c r="B311" t="s">
        <v>901</v>
      </c>
      <c r="C311" t="s">
        <v>198</v>
      </c>
      <c r="D311">
        <v>195.547</v>
      </c>
    </row>
    <row r="312" spans="1:4" x14ac:dyDescent="0.3">
      <c r="A312" t="s">
        <v>902</v>
      </c>
      <c r="B312" t="s">
        <v>2622</v>
      </c>
      <c r="C312" t="s">
        <v>198</v>
      </c>
      <c r="D312">
        <v>12.548999999999999</v>
      </c>
    </row>
    <row r="313" spans="1:4" x14ac:dyDescent="0.3">
      <c r="A313" t="s">
        <v>904</v>
      </c>
      <c r="B313" t="s">
        <v>905</v>
      </c>
      <c r="C313" t="s">
        <v>200</v>
      </c>
      <c r="D313">
        <v>6.9550000000000001</v>
      </c>
    </row>
    <row r="314" spans="1:4" x14ac:dyDescent="0.3">
      <c r="A314" t="s">
        <v>906</v>
      </c>
      <c r="B314" t="s">
        <v>907</v>
      </c>
      <c r="C314" t="s">
        <v>284</v>
      </c>
      <c r="D314">
        <v>3.9129999999999998</v>
      </c>
    </row>
    <row r="315" spans="1:4" x14ac:dyDescent="0.3">
      <c r="A315" t="s">
        <v>908</v>
      </c>
      <c r="B315" t="s">
        <v>909</v>
      </c>
      <c r="C315" t="s">
        <v>198</v>
      </c>
      <c r="D315">
        <v>19.622</v>
      </c>
    </row>
    <row r="316" spans="1:4" x14ac:dyDescent="0.3">
      <c r="A316" t="s">
        <v>910</v>
      </c>
      <c r="B316" t="s">
        <v>911</v>
      </c>
      <c r="C316" t="s">
        <v>360</v>
      </c>
      <c r="D316">
        <v>345.25</v>
      </c>
    </row>
    <row r="317" spans="1:4" x14ac:dyDescent="0.3">
      <c r="A317" t="s">
        <v>912</v>
      </c>
      <c r="B317" t="s">
        <v>913</v>
      </c>
      <c r="C317" t="s">
        <v>273</v>
      </c>
      <c r="D317">
        <v>10.856</v>
      </c>
    </row>
    <row r="318" spans="1:4" x14ac:dyDescent="0.3">
      <c r="A318" t="s">
        <v>914</v>
      </c>
      <c r="B318" t="s">
        <v>915</v>
      </c>
      <c r="C318" t="s">
        <v>553</v>
      </c>
      <c r="D318">
        <v>7.2649999999999997</v>
      </c>
    </row>
    <row r="319" spans="1:4" x14ac:dyDescent="0.3">
      <c r="A319" t="s">
        <v>916</v>
      </c>
      <c r="B319" t="s">
        <v>917</v>
      </c>
      <c r="C319" t="s">
        <v>257</v>
      </c>
      <c r="D319">
        <v>2.9140000000000001</v>
      </c>
    </row>
    <row r="320" spans="1:4" x14ac:dyDescent="0.3">
      <c r="A320" t="s">
        <v>918</v>
      </c>
      <c r="B320" t="s">
        <v>919</v>
      </c>
      <c r="C320" t="s">
        <v>257</v>
      </c>
      <c r="D320">
        <v>9.5229999999999997</v>
      </c>
    </row>
    <row r="321" spans="1:4" x14ac:dyDescent="0.3">
      <c r="A321" t="s">
        <v>920</v>
      </c>
      <c r="B321" t="s">
        <v>921</v>
      </c>
      <c r="C321" t="s">
        <v>922</v>
      </c>
      <c r="D321">
        <v>1.9079999999999999</v>
      </c>
    </row>
    <row r="322" spans="1:4" x14ac:dyDescent="0.3">
      <c r="A322" t="s">
        <v>923</v>
      </c>
      <c r="B322" t="s">
        <v>924</v>
      </c>
      <c r="C322" t="s">
        <v>198</v>
      </c>
      <c r="D322">
        <v>4.274</v>
      </c>
    </row>
    <row r="323" spans="1:4" x14ac:dyDescent="0.3">
      <c r="A323" t="s">
        <v>925</v>
      </c>
      <c r="B323" t="s">
        <v>926</v>
      </c>
      <c r="C323" t="s">
        <v>199</v>
      </c>
      <c r="D323">
        <v>1.94</v>
      </c>
    </row>
    <row r="324" spans="1:4" x14ac:dyDescent="0.3">
      <c r="A324" t="s">
        <v>927</v>
      </c>
      <c r="B324" t="s">
        <v>928</v>
      </c>
      <c r="C324" t="s">
        <v>354</v>
      </c>
      <c r="D324">
        <v>0.40500000000000003</v>
      </c>
    </row>
    <row r="325" spans="1:4" x14ac:dyDescent="0.3">
      <c r="A325" t="s">
        <v>929</v>
      </c>
      <c r="B325" t="s">
        <v>930</v>
      </c>
      <c r="C325" t="s">
        <v>931</v>
      </c>
      <c r="D325">
        <v>0.35799999999999998</v>
      </c>
    </row>
    <row r="326" spans="1:4" x14ac:dyDescent="0.3">
      <c r="A326" t="s">
        <v>932</v>
      </c>
      <c r="B326" t="s">
        <v>933</v>
      </c>
      <c r="C326" t="s">
        <v>284</v>
      </c>
      <c r="D326">
        <v>0.50600000000000001</v>
      </c>
    </row>
    <row r="327" spans="1:4" x14ac:dyDescent="0.3">
      <c r="A327" t="s">
        <v>934</v>
      </c>
      <c r="B327" t="s">
        <v>935</v>
      </c>
      <c r="C327" t="s">
        <v>936</v>
      </c>
      <c r="D327">
        <v>0.121</v>
      </c>
    </row>
    <row r="328" spans="1:4" x14ac:dyDescent="0.3">
      <c r="A328" t="s">
        <v>937</v>
      </c>
      <c r="B328" t="s">
        <v>938</v>
      </c>
      <c r="C328" t="s">
        <v>199</v>
      </c>
      <c r="D328">
        <v>1.514</v>
      </c>
    </row>
    <row r="329" spans="1:4" x14ac:dyDescent="0.3">
      <c r="A329" t="s">
        <v>939</v>
      </c>
      <c r="B329" t="s">
        <v>940</v>
      </c>
      <c r="C329" t="s">
        <v>199</v>
      </c>
      <c r="D329">
        <v>18.071000000000002</v>
      </c>
    </row>
    <row r="330" spans="1:4" x14ac:dyDescent="0.3">
      <c r="A330" t="s">
        <v>941</v>
      </c>
      <c r="B330" t="s">
        <v>942</v>
      </c>
      <c r="C330" t="s">
        <v>198</v>
      </c>
      <c r="D330">
        <v>14.715999999999999</v>
      </c>
    </row>
    <row r="331" spans="1:4" x14ac:dyDescent="0.3">
      <c r="A331" t="s">
        <v>943</v>
      </c>
      <c r="B331" t="s">
        <v>944</v>
      </c>
      <c r="C331" t="s">
        <v>945</v>
      </c>
      <c r="D331">
        <v>2.4969999999999999</v>
      </c>
    </row>
    <row r="332" spans="1:4" x14ac:dyDescent="0.3">
      <c r="A332" t="s">
        <v>946</v>
      </c>
      <c r="B332" t="s">
        <v>944</v>
      </c>
      <c r="C332" t="s">
        <v>947</v>
      </c>
      <c r="D332">
        <v>1.256</v>
      </c>
    </row>
    <row r="333" spans="1:4" x14ac:dyDescent="0.3">
      <c r="A333" t="s">
        <v>948</v>
      </c>
      <c r="B333" t="s">
        <v>949</v>
      </c>
      <c r="C333" t="s">
        <v>947</v>
      </c>
      <c r="D333">
        <v>1.006</v>
      </c>
    </row>
    <row r="334" spans="1:4" x14ac:dyDescent="0.3">
      <c r="A334" t="s">
        <v>950</v>
      </c>
      <c r="B334" t="s">
        <v>944</v>
      </c>
      <c r="C334" t="s">
        <v>951</v>
      </c>
      <c r="D334">
        <v>0.624</v>
      </c>
    </row>
    <row r="335" spans="1:4" x14ac:dyDescent="0.3">
      <c r="A335" t="s">
        <v>952</v>
      </c>
      <c r="B335" t="s">
        <v>953</v>
      </c>
      <c r="C335" t="s">
        <v>947</v>
      </c>
      <c r="D335">
        <v>2.2789999999999999</v>
      </c>
    </row>
    <row r="336" spans="1:4" x14ac:dyDescent="0.3">
      <c r="A336" t="s">
        <v>954</v>
      </c>
      <c r="B336" t="s">
        <v>955</v>
      </c>
      <c r="C336" t="s">
        <v>956</v>
      </c>
      <c r="D336">
        <v>4.4880000000000004</v>
      </c>
    </row>
    <row r="337" spans="1:4" x14ac:dyDescent="0.3">
      <c r="A337" t="s">
        <v>957</v>
      </c>
      <c r="B337" t="s">
        <v>958</v>
      </c>
      <c r="C337" t="s">
        <v>956</v>
      </c>
      <c r="D337">
        <v>2.673</v>
      </c>
    </row>
    <row r="338" spans="1:4" x14ac:dyDescent="0.3">
      <c r="A338" t="s">
        <v>968</v>
      </c>
      <c r="B338" t="s">
        <v>969</v>
      </c>
      <c r="C338" t="s">
        <v>963</v>
      </c>
      <c r="D338">
        <v>8.2149999999999999</v>
      </c>
    </row>
    <row r="339" spans="1:4" x14ac:dyDescent="0.3">
      <c r="A339" t="s">
        <v>972</v>
      </c>
      <c r="B339" t="s">
        <v>973</v>
      </c>
      <c r="C339" t="s">
        <v>963</v>
      </c>
      <c r="D339">
        <v>1.33</v>
      </c>
    </row>
    <row r="340" spans="1:4" x14ac:dyDescent="0.3">
      <c r="A340" t="s">
        <v>974</v>
      </c>
      <c r="B340" t="s">
        <v>975</v>
      </c>
      <c r="C340" t="s">
        <v>976</v>
      </c>
      <c r="D340">
        <v>1.028</v>
      </c>
    </row>
    <row r="341" spans="1:4" x14ac:dyDescent="0.3">
      <c r="A341" t="s">
        <v>977</v>
      </c>
      <c r="B341" t="s">
        <v>978</v>
      </c>
      <c r="C341" t="s">
        <v>963</v>
      </c>
      <c r="D341">
        <v>1.2509999999999999</v>
      </c>
    </row>
    <row r="342" spans="1:4" x14ac:dyDescent="0.3">
      <c r="A342" t="s">
        <v>979</v>
      </c>
      <c r="B342" t="s">
        <v>980</v>
      </c>
      <c r="C342" t="s">
        <v>981</v>
      </c>
      <c r="D342">
        <v>0.99399999999999999</v>
      </c>
    </row>
    <row r="343" spans="1:4" x14ac:dyDescent="0.3">
      <c r="A343" t="s">
        <v>982</v>
      </c>
      <c r="B343" t="s">
        <v>983</v>
      </c>
      <c r="C343" t="s">
        <v>963</v>
      </c>
      <c r="D343">
        <v>1.1240000000000001</v>
      </c>
    </row>
    <row r="344" spans="1:4" x14ac:dyDescent="0.3">
      <c r="A344" t="s">
        <v>986</v>
      </c>
      <c r="B344" t="s">
        <v>987</v>
      </c>
      <c r="C344" t="s">
        <v>452</v>
      </c>
      <c r="D344">
        <v>2.069</v>
      </c>
    </row>
    <row r="345" spans="1:4" x14ac:dyDescent="0.3">
      <c r="A345" t="s">
        <v>988</v>
      </c>
      <c r="B345" t="s">
        <v>989</v>
      </c>
      <c r="C345" t="s">
        <v>963</v>
      </c>
      <c r="D345">
        <v>1.107</v>
      </c>
    </row>
    <row r="346" spans="1:4" x14ac:dyDescent="0.3">
      <c r="A346" t="s">
        <v>990</v>
      </c>
      <c r="B346" t="s">
        <v>991</v>
      </c>
      <c r="C346" t="s">
        <v>963</v>
      </c>
      <c r="D346">
        <v>1.3540000000000001</v>
      </c>
    </row>
    <row r="347" spans="1:4" x14ac:dyDescent="0.3">
      <c r="A347" t="s">
        <v>992</v>
      </c>
      <c r="B347" t="s">
        <v>993</v>
      </c>
      <c r="C347" t="s">
        <v>963</v>
      </c>
      <c r="D347">
        <v>1.137</v>
      </c>
    </row>
    <row r="348" spans="1:4" x14ac:dyDescent="0.3">
      <c r="A348" t="s">
        <v>994</v>
      </c>
      <c r="B348" t="s">
        <v>995</v>
      </c>
      <c r="C348" t="s">
        <v>963</v>
      </c>
      <c r="D348">
        <v>1.4259999999999999</v>
      </c>
    </row>
    <row r="349" spans="1:4" x14ac:dyDescent="0.3">
      <c r="A349" t="s">
        <v>996</v>
      </c>
      <c r="B349" t="s">
        <v>997</v>
      </c>
      <c r="C349" t="s">
        <v>963</v>
      </c>
      <c r="D349">
        <v>1.5109999999999999</v>
      </c>
    </row>
    <row r="350" spans="1:4" x14ac:dyDescent="0.3">
      <c r="A350" t="s">
        <v>998</v>
      </c>
      <c r="B350" t="s">
        <v>999</v>
      </c>
      <c r="C350" t="s">
        <v>963</v>
      </c>
      <c r="D350">
        <v>3.6840000000000002</v>
      </c>
    </row>
    <row r="351" spans="1:4" x14ac:dyDescent="0.3">
      <c r="A351" t="s">
        <v>1000</v>
      </c>
      <c r="B351" t="s">
        <v>1001</v>
      </c>
      <c r="C351" t="s">
        <v>963</v>
      </c>
      <c r="D351">
        <v>2.1110000000000002</v>
      </c>
    </row>
    <row r="352" spans="1:4" x14ac:dyDescent="0.3">
      <c r="A352" t="s">
        <v>1002</v>
      </c>
      <c r="B352" t="s">
        <v>1003</v>
      </c>
      <c r="C352" t="s">
        <v>963</v>
      </c>
      <c r="D352">
        <v>1.3480000000000001</v>
      </c>
    </row>
    <row r="353" spans="1:4" x14ac:dyDescent="0.3">
      <c r="A353" t="s">
        <v>1004</v>
      </c>
      <c r="B353" t="s">
        <v>1005</v>
      </c>
      <c r="C353" t="s">
        <v>963</v>
      </c>
      <c r="D353">
        <v>2.992</v>
      </c>
    </row>
    <row r="354" spans="1:4" x14ac:dyDescent="0.3">
      <c r="A354" t="s">
        <v>1008</v>
      </c>
      <c r="B354" t="s">
        <v>1009</v>
      </c>
      <c r="C354" t="s">
        <v>963</v>
      </c>
      <c r="D354">
        <v>2.0089999999999999</v>
      </c>
    </row>
    <row r="355" spans="1:4" x14ac:dyDescent="0.3">
      <c r="A355" t="s">
        <v>1020</v>
      </c>
      <c r="B355" t="s">
        <v>1021</v>
      </c>
      <c r="C355" t="s">
        <v>1022</v>
      </c>
      <c r="D355">
        <v>404.59100000000001</v>
      </c>
    </row>
    <row r="356" spans="1:4" x14ac:dyDescent="0.3">
      <c r="A356" t="s">
        <v>1023</v>
      </c>
      <c r="B356" t="s">
        <v>1024</v>
      </c>
      <c r="C356" t="s">
        <v>1025</v>
      </c>
      <c r="D356">
        <v>20395.294000000002</v>
      </c>
    </row>
    <row r="357" spans="1:4" x14ac:dyDescent="0.3">
      <c r="A357" t="s">
        <v>1026</v>
      </c>
      <c r="B357" t="s">
        <v>1027</v>
      </c>
      <c r="C357" t="s">
        <v>273</v>
      </c>
      <c r="D357">
        <v>200.196</v>
      </c>
    </row>
    <row r="358" spans="1:4" x14ac:dyDescent="0.3">
      <c r="A358" t="s">
        <v>1028</v>
      </c>
      <c r="B358" t="s">
        <v>1029</v>
      </c>
      <c r="C358" t="s">
        <v>318</v>
      </c>
      <c r="D358">
        <v>490.19799999999998</v>
      </c>
    </row>
    <row r="359" spans="1:4" x14ac:dyDescent="0.3">
      <c r="A359" t="s">
        <v>1030</v>
      </c>
      <c r="B359" t="s">
        <v>1031</v>
      </c>
      <c r="C359" t="s">
        <v>1032</v>
      </c>
      <c r="D359">
        <v>1018.6950000000001</v>
      </c>
    </row>
    <row r="360" spans="1:4" x14ac:dyDescent="0.3">
      <c r="A360" t="s">
        <v>2112</v>
      </c>
      <c r="B360" t="s">
        <v>2113</v>
      </c>
      <c r="C360" t="s">
        <v>198</v>
      </c>
      <c r="D360">
        <v>6.2519999999999998</v>
      </c>
    </row>
    <row r="361" spans="1:4" x14ac:dyDescent="0.3">
      <c r="A361" t="s">
        <v>1033</v>
      </c>
      <c r="B361" t="s">
        <v>1034</v>
      </c>
      <c r="C361" t="s">
        <v>1035</v>
      </c>
      <c r="D361">
        <v>83.174999999999997</v>
      </c>
    </row>
    <row r="362" spans="1:4" x14ac:dyDescent="0.3">
      <c r="A362" t="s">
        <v>1036</v>
      </c>
      <c r="B362" t="s">
        <v>1037</v>
      </c>
      <c r="C362" t="s">
        <v>1035</v>
      </c>
      <c r="D362">
        <v>143.73400000000001</v>
      </c>
    </row>
    <row r="363" spans="1:4" x14ac:dyDescent="0.3">
      <c r="A363" t="s">
        <v>1587</v>
      </c>
      <c r="B363" t="s">
        <v>1588</v>
      </c>
      <c r="C363" t="s">
        <v>1035</v>
      </c>
      <c r="D363">
        <v>140.34100000000001</v>
      </c>
    </row>
    <row r="364" spans="1:4" x14ac:dyDescent="0.3">
      <c r="A364" t="s">
        <v>1038</v>
      </c>
      <c r="B364" t="s">
        <v>1039</v>
      </c>
      <c r="C364" t="s">
        <v>198</v>
      </c>
      <c r="D364">
        <v>11.699</v>
      </c>
    </row>
    <row r="365" spans="1:4" x14ac:dyDescent="0.3">
      <c r="A365" t="s">
        <v>2116</v>
      </c>
      <c r="B365" t="s">
        <v>2117</v>
      </c>
      <c r="C365" t="s">
        <v>1035</v>
      </c>
      <c r="D365">
        <v>509.34800000000001</v>
      </c>
    </row>
    <row r="366" spans="1:4" x14ac:dyDescent="0.3">
      <c r="A366" t="s">
        <v>1590</v>
      </c>
      <c r="B366" t="s">
        <v>1591</v>
      </c>
      <c r="C366" t="s">
        <v>1813</v>
      </c>
      <c r="D366">
        <v>796.56200000000001</v>
      </c>
    </row>
    <row r="367" spans="1:4" x14ac:dyDescent="0.3">
      <c r="A367" t="s">
        <v>1040</v>
      </c>
      <c r="B367" t="s">
        <v>1041</v>
      </c>
      <c r="C367" t="s">
        <v>1042</v>
      </c>
      <c r="D367">
        <v>3.15</v>
      </c>
    </row>
    <row r="368" spans="1:4" x14ac:dyDescent="0.3">
      <c r="A368" t="s">
        <v>1048</v>
      </c>
      <c r="B368" t="s">
        <v>1049</v>
      </c>
      <c r="C368" t="s">
        <v>209</v>
      </c>
      <c r="D368">
        <v>0.6</v>
      </c>
    </row>
    <row r="369" spans="1:4" x14ac:dyDescent="0.3">
      <c r="A369" t="s">
        <v>1050</v>
      </c>
      <c r="B369" t="s">
        <v>1051</v>
      </c>
      <c r="C369" t="s">
        <v>257</v>
      </c>
      <c r="D369">
        <v>2.423</v>
      </c>
    </row>
    <row r="370" spans="1:4" x14ac:dyDescent="0.3">
      <c r="A370" t="s">
        <v>1052</v>
      </c>
      <c r="B370" t="s">
        <v>1053</v>
      </c>
      <c r="C370" t="s">
        <v>458</v>
      </c>
      <c r="D370">
        <v>1.254</v>
      </c>
    </row>
    <row r="371" spans="1:4" x14ac:dyDescent="0.3">
      <c r="A371" t="s">
        <v>1054</v>
      </c>
      <c r="B371" t="s">
        <v>1055</v>
      </c>
      <c r="C371" t="s">
        <v>295</v>
      </c>
      <c r="D371">
        <v>2106.5079999999998</v>
      </c>
    </row>
    <row r="372" spans="1:4" x14ac:dyDescent="0.3">
      <c r="A372" t="s">
        <v>1056</v>
      </c>
      <c r="B372" t="s">
        <v>1057</v>
      </c>
      <c r="C372" t="s">
        <v>198</v>
      </c>
      <c r="D372">
        <v>0.53300000000000003</v>
      </c>
    </row>
    <row r="373" spans="1:4" x14ac:dyDescent="0.3">
      <c r="A373" t="s">
        <v>1058</v>
      </c>
      <c r="B373" t="s">
        <v>1059</v>
      </c>
      <c r="C373" t="s">
        <v>273</v>
      </c>
      <c r="D373">
        <v>0.47299999999999998</v>
      </c>
    </row>
    <row r="374" spans="1:4" x14ac:dyDescent="0.3">
      <c r="A374" t="s">
        <v>1060</v>
      </c>
      <c r="B374" t="s">
        <v>1061</v>
      </c>
      <c r="C374" t="s">
        <v>513</v>
      </c>
      <c r="D374">
        <v>0.26600000000000001</v>
      </c>
    </row>
    <row r="375" spans="1:4" x14ac:dyDescent="0.3">
      <c r="A375" t="s">
        <v>1062</v>
      </c>
      <c r="B375" t="s">
        <v>1063</v>
      </c>
      <c r="C375" t="s">
        <v>200</v>
      </c>
      <c r="D375">
        <v>6.5000000000000002E-2</v>
      </c>
    </row>
    <row r="376" spans="1:4" x14ac:dyDescent="0.3">
      <c r="A376" t="s">
        <v>1064</v>
      </c>
      <c r="B376" t="s">
        <v>1065</v>
      </c>
      <c r="C376" t="s">
        <v>553</v>
      </c>
      <c r="D376">
        <v>725.69100000000003</v>
      </c>
    </row>
    <row r="377" spans="1:4" x14ac:dyDescent="0.3">
      <c r="A377" t="s">
        <v>1066</v>
      </c>
      <c r="B377" t="s">
        <v>1067</v>
      </c>
      <c r="C377" t="s">
        <v>198</v>
      </c>
      <c r="D377">
        <v>1.4999999999999999E-2</v>
      </c>
    </row>
    <row r="378" spans="1:4" x14ac:dyDescent="0.3">
      <c r="A378" t="s">
        <v>1068</v>
      </c>
      <c r="B378" t="s">
        <v>1069</v>
      </c>
      <c r="C378" t="s">
        <v>553</v>
      </c>
      <c r="D378">
        <v>0.71599999999999997</v>
      </c>
    </row>
    <row r="379" spans="1:4" x14ac:dyDescent="0.3">
      <c r="A379" t="s">
        <v>1070</v>
      </c>
      <c r="B379" t="s">
        <v>1071</v>
      </c>
      <c r="C379" t="s">
        <v>295</v>
      </c>
      <c r="D379">
        <v>44.197000000000003</v>
      </c>
    </row>
    <row r="380" spans="1:4" x14ac:dyDescent="0.3">
      <c r="A380" t="s">
        <v>1072</v>
      </c>
      <c r="B380" t="s">
        <v>1073</v>
      </c>
      <c r="C380" t="s">
        <v>295</v>
      </c>
      <c r="D380">
        <v>1.5169999999999999</v>
      </c>
    </row>
    <row r="381" spans="1:4" x14ac:dyDescent="0.3">
      <c r="A381" t="s">
        <v>1074</v>
      </c>
      <c r="B381" t="s">
        <v>1075</v>
      </c>
      <c r="C381" t="s">
        <v>1076</v>
      </c>
      <c r="D381">
        <v>3.0819999999999999</v>
      </c>
    </row>
    <row r="382" spans="1:4" x14ac:dyDescent="0.3">
      <c r="A382" t="s">
        <v>1077</v>
      </c>
      <c r="B382" t="s">
        <v>1078</v>
      </c>
      <c r="C382" t="s">
        <v>198</v>
      </c>
      <c r="D382">
        <v>7.3150000000000004</v>
      </c>
    </row>
    <row r="383" spans="1:4" x14ac:dyDescent="0.3">
      <c r="A383" t="s">
        <v>1079</v>
      </c>
      <c r="B383" t="s">
        <v>1080</v>
      </c>
      <c r="C383" t="s">
        <v>200</v>
      </c>
      <c r="D383">
        <v>206.31800000000001</v>
      </c>
    </row>
    <row r="384" spans="1:4" x14ac:dyDescent="0.3">
      <c r="A384" t="s">
        <v>1081</v>
      </c>
      <c r="B384" t="s">
        <v>1082</v>
      </c>
      <c r="C384" t="s">
        <v>458</v>
      </c>
      <c r="D384">
        <v>8.6080000000000005</v>
      </c>
    </row>
    <row r="385" spans="1:4" x14ac:dyDescent="0.3">
      <c r="A385" t="s">
        <v>1083</v>
      </c>
      <c r="B385" t="s">
        <v>1084</v>
      </c>
      <c r="C385" t="s">
        <v>1085</v>
      </c>
      <c r="D385">
        <v>9.8699999999999992</v>
      </c>
    </row>
    <row r="386" spans="1:4" x14ac:dyDescent="0.3">
      <c r="A386" t="s">
        <v>1086</v>
      </c>
      <c r="B386" t="s">
        <v>1087</v>
      </c>
      <c r="C386" t="s">
        <v>239</v>
      </c>
      <c r="D386">
        <v>10.821</v>
      </c>
    </row>
    <row r="387" spans="1:4" x14ac:dyDescent="0.3">
      <c r="A387" t="s">
        <v>1088</v>
      </c>
      <c r="B387" t="s">
        <v>1089</v>
      </c>
      <c r="C387" t="s">
        <v>405</v>
      </c>
      <c r="D387">
        <v>4.3789999999999996</v>
      </c>
    </row>
    <row r="388" spans="1:4" x14ac:dyDescent="0.3">
      <c r="A388" t="s">
        <v>1090</v>
      </c>
      <c r="B388" t="s">
        <v>1091</v>
      </c>
      <c r="C388" t="s">
        <v>198</v>
      </c>
      <c r="D388">
        <v>0.159</v>
      </c>
    </row>
    <row r="389" spans="1:4" x14ac:dyDescent="0.3">
      <c r="A389" t="s">
        <v>1092</v>
      </c>
      <c r="B389" t="s">
        <v>1093</v>
      </c>
      <c r="C389" t="s">
        <v>396</v>
      </c>
      <c r="D389">
        <v>0.20100000000000001</v>
      </c>
    </row>
    <row r="390" spans="1:4" x14ac:dyDescent="0.3">
      <c r="A390" t="s">
        <v>1094</v>
      </c>
      <c r="B390" t="s">
        <v>1095</v>
      </c>
      <c r="C390" t="s">
        <v>198</v>
      </c>
      <c r="D390">
        <v>4.5999999999999999E-2</v>
      </c>
    </row>
    <row r="391" spans="1:4" x14ac:dyDescent="0.3">
      <c r="A391" t="s">
        <v>1096</v>
      </c>
      <c r="B391" t="s">
        <v>1097</v>
      </c>
      <c r="C391" t="s">
        <v>396</v>
      </c>
      <c r="D391">
        <v>0.06</v>
      </c>
    </row>
    <row r="392" spans="1:4" x14ac:dyDescent="0.3">
      <c r="A392" t="s">
        <v>1098</v>
      </c>
      <c r="B392" t="s">
        <v>1099</v>
      </c>
      <c r="C392" t="s">
        <v>1100</v>
      </c>
      <c r="D392">
        <v>0.14199999999999999</v>
      </c>
    </row>
    <row r="393" spans="1:4" x14ac:dyDescent="0.3">
      <c r="A393" t="s">
        <v>1101</v>
      </c>
      <c r="B393" t="s">
        <v>1102</v>
      </c>
      <c r="C393" t="s">
        <v>396</v>
      </c>
      <c r="D393">
        <v>3.5249999999999999</v>
      </c>
    </row>
    <row r="394" spans="1:4" x14ac:dyDescent="0.3">
      <c r="A394" t="s">
        <v>1103</v>
      </c>
      <c r="B394" t="s">
        <v>1104</v>
      </c>
      <c r="C394" t="s">
        <v>199</v>
      </c>
      <c r="D394">
        <v>7.6950000000000003</v>
      </c>
    </row>
    <row r="395" spans="1:4" x14ac:dyDescent="0.3">
      <c r="A395" t="s">
        <v>1105</v>
      </c>
      <c r="B395" t="s">
        <v>1106</v>
      </c>
      <c r="C395" t="s">
        <v>198</v>
      </c>
      <c r="D395">
        <v>47.725000000000001</v>
      </c>
    </row>
    <row r="396" spans="1:4" x14ac:dyDescent="0.3">
      <c r="A396" t="s">
        <v>1107</v>
      </c>
      <c r="B396" t="s">
        <v>1108</v>
      </c>
      <c r="C396" t="s">
        <v>198</v>
      </c>
      <c r="D396">
        <v>0.217</v>
      </c>
    </row>
    <row r="397" spans="1:4" x14ac:dyDescent="0.3">
      <c r="A397" t="s">
        <v>1109</v>
      </c>
      <c r="B397" t="s">
        <v>1110</v>
      </c>
      <c r="C397" t="s">
        <v>198</v>
      </c>
      <c r="D397">
        <v>0.53800000000000003</v>
      </c>
    </row>
    <row r="398" spans="1:4" x14ac:dyDescent="0.3">
      <c r="A398" t="s">
        <v>1111</v>
      </c>
      <c r="B398" t="s">
        <v>1112</v>
      </c>
      <c r="C398" t="s">
        <v>683</v>
      </c>
      <c r="D398">
        <v>48.651000000000003</v>
      </c>
    </row>
    <row r="399" spans="1:4" x14ac:dyDescent="0.3">
      <c r="A399" t="s">
        <v>1113</v>
      </c>
      <c r="B399" t="s">
        <v>1114</v>
      </c>
      <c r="C399" t="s">
        <v>1115</v>
      </c>
      <c r="D399">
        <v>584.32500000000005</v>
      </c>
    </row>
    <row r="400" spans="1:4" x14ac:dyDescent="0.3">
      <c r="A400" t="s">
        <v>1116</v>
      </c>
      <c r="B400" t="s">
        <v>1117</v>
      </c>
      <c r="C400" t="s">
        <v>200</v>
      </c>
      <c r="D400">
        <v>7.4909999999999997</v>
      </c>
    </row>
    <row r="401" spans="1:4" x14ac:dyDescent="0.3">
      <c r="A401" t="s">
        <v>1118</v>
      </c>
      <c r="B401" t="s">
        <v>1119</v>
      </c>
      <c r="C401" t="s">
        <v>688</v>
      </c>
      <c r="D401">
        <v>24.128</v>
      </c>
    </row>
    <row r="402" spans="1:4" x14ac:dyDescent="0.3">
      <c r="A402" t="s">
        <v>1120</v>
      </c>
      <c r="B402" t="s">
        <v>1121</v>
      </c>
      <c r="C402" t="s">
        <v>445</v>
      </c>
      <c r="D402">
        <v>1.8180000000000001</v>
      </c>
    </row>
    <row r="403" spans="1:4" x14ac:dyDescent="0.3">
      <c r="A403" t="s">
        <v>1122</v>
      </c>
      <c r="B403" t="s">
        <v>1123</v>
      </c>
      <c r="C403" t="s">
        <v>284</v>
      </c>
      <c r="D403">
        <v>5.36</v>
      </c>
    </row>
    <row r="404" spans="1:4" x14ac:dyDescent="0.3">
      <c r="A404" t="s">
        <v>1124</v>
      </c>
      <c r="B404" t="s">
        <v>1125</v>
      </c>
      <c r="C404" t="s">
        <v>553</v>
      </c>
      <c r="D404">
        <v>4.0460000000000003</v>
      </c>
    </row>
    <row r="405" spans="1:4" x14ac:dyDescent="0.3">
      <c r="A405" t="s">
        <v>1126</v>
      </c>
      <c r="B405" t="s">
        <v>1127</v>
      </c>
      <c r="C405" t="s">
        <v>458</v>
      </c>
      <c r="D405">
        <v>8.5000000000000006E-2</v>
      </c>
    </row>
    <row r="406" spans="1:4" x14ac:dyDescent="0.3">
      <c r="A406" t="s">
        <v>1128</v>
      </c>
      <c r="B406" t="s">
        <v>1129</v>
      </c>
      <c r="C406" t="s">
        <v>209</v>
      </c>
      <c r="D406">
        <v>75.789000000000001</v>
      </c>
    </row>
    <row r="407" spans="1:4" x14ac:dyDescent="0.3">
      <c r="A407" t="s">
        <v>1130</v>
      </c>
      <c r="B407" t="s">
        <v>1131</v>
      </c>
      <c r="C407" t="s">
        <v>688</v>
      </c>
      <c r="D407">
        <v>11.677</v>
      </c>
    </row>
    <row r="408" spans="1:4" x14ac:dyDescent="0.3">
      <c r="A408" t="s">
        <v>1132</v>
      </c>
      <c r="B408" t="s">
        <v>1133</v>
      </c>
      <c r="C408" t="s">
        <v>1134</v>
      </c>
      <c r="D408">
        <v>1.139</v>
      </c>
    </row>
    <row r="409" spans="1:4" x14ac:dyDescent="0.3">
      <c r="A409" t="s">
        <v>1135</v>
      </c>
      <c r="B409" t="s">
        <v>2413</v>
      </c>
      <c r="C409" t="s">
        <v>396</v>
      </c>
      <c r="D409">
        <v>340.62400000000002</v>
      </c>
    </row>
    <row r="410" spans="1:4" x14ac:dyDescent="0.3">
      <c r="A410" t="s">
        <v>1137</v>
      </c>
      <c r="B410" t="s">
        <v>1138</v>
      </c>
      <c r="C410" t="s">
        <v>198</v>
      </c>
      <c r="D410">
        <v>2.2250000000000001</v>
      </c>
    </row>
    <row r="411" spans="1:4" x14ac:dyDescent="0.3">
      <c r="A411" t="s">
        <v>1139</v>
      </c>
      <c r="B411" t="s">
        <v>1140</v>
      </c>
      <c r="C411" t="s">
        <v>200</v>
      </c>
      <c r="D411">
        <v>0.92300000000000004</v>
      </c>
    </row>
    <row r="412" spans="1:4" x14ac:dyDescent="0.3">
      <c r="A412" t="s">
        <v>1141</v>
      </c>
      <c r="B412" t="s">
        <v>1142</v>
      </c>
      <c r="C412" t="s">
        <v>1143</v>
      </c>
      <c r="D412">
        <v>103.85899999999999</v>
      </c>
    </row>
    <row r="413" spans="1:4" x14ac:dyDescent="0.3">
      <c r="A413" t="s">
        <v>1144</v>
      </c>
      <c r="B413" t="s">
        <v>1145</v>
      </c>
      <c r="C413" t="s">
        <v>199</v>
      </c>
      <c r="D413">
        <v>3.0710000000000002</v>
      </c>
    </row>
    <row r="414" spans="1:4" x14ac:dyDescent="0.3">
      <c r="A414" t="s">
        <v>1146</v>
      </c>
      <c r="B414" t="s">
        <v>1147</v>
      </c>
      <c r="C414" t="s">
        <v>198</v>
      </c>
      <c r="D414">
        <v>77.063999999999993</v>
      </c>
    </row>
    <row r="415" spans="1:4" x14ac:dyDescent="0.3">
      <c r="A415" t="s">
        <v>1148</v>
      </c>
      <c r="B415" t="s">
        <v>1149</v>
      </c>
      <c r="C415" t="s">
        <v>1150</v>
      </c>
      <c r="D415">
        <v>414.82499999999999</v>
      </c>
    </row>
    <row r="416" spans="1:4" x14ac:dyDescent="0.3">
      <c r="A416" t="s">
        <v>1151</v>
      </c>
      <c r="B416" t="s">
        <v>1152</v>
      </c>
      <c r="C416" t="s">
        <v>199</v>
      </c>
      <c r="D416">
        <v>76.894999999999996</v>
      </c>
    </row>
    <row r="417" spans="1:4" x14ac:dyDescent="0.3">
      <c r="A417" t="s">
        <v>1153</v>
      </c>
      <c r="B417" t="s">
        <v>1154</v>
      </c>
      <c r="C417" t="s">
        <v>199</v>
      </c>
      <c r="D417">
        <v>80.59</v>
      </c>
    </row>
    <row r="418" spans="1:4" x14ac:dyDescent="0.3">
      <c r="A418" t="s">
        <v>1155</v>
      </c>
      <c r="B418" t="s">
        <v>1156</v>
      </c>
      <c r="C418" t="s">
        <v>198</v>
      </c>
      <c r="D418">
        <v>1.5089999999999999</v>
      </c>
    </row>
    <row r="419" spans="1:4" x14ac:dyDescent="0.3">
      <c r="A419" t="s">
        <v>1157</v>
      </c>
      <c r="B419" t="s">
        <v>1158</v>
      </c>
      <c r="C419" t="s">
        <v>198</v>
      </c>
      <c r="D419">
        <v>120.238</v>
      </c>
    </row>
    <row r="420" spans="1:4" x14ac:dyDescent="0.3">
      <c r="A420" t="s">
        <v>1814</v>
      </c>
      <c r="B420" t="s">
        <v>1815</v>
      </c>
      <c r="C420" t="s">
        <v>1274</v>
      </c>
      <c r="D420">
        <v>138.11199999999999</v>
      </c>
    </row>
    <row r="421" spans="1:4" x14ac:dyDescent="0.3">
      <c r="A421" t="s">
        <v>1161</v>
      </c>
      <c r="B421" t="s">
        <v>1162</v>
      </c>
      <c r="C421" t="s">
        <v>199</v>
      </c>
      <c r="D421">
        <v>37.255000000000003</v>
      </c>
    </row>
    <row r="422" spans="1:4" x14ac:dyDescent="0.3">
      <c r="A422" t="s">
        <v>1163</v>
      </c>
      <c r="B422" t="s">
        <v>1164</v>
      </c>
      <c r="C422" t="s">
        <v>198</v>
      </c>
      <c r="D422">
        <v>30.747</v>
      </c>
    </row>
    <row r="423" spans="1:4" x14ac:dyDescent="0.3">
      <c r="A423" t="s">
        <v>1165</v>
      </c>
      <c r="B423" t="s">
        <v>1166</v>
      </c>
      <c r="C423" t="s">
        <v>198</v>
      </c>
      <c r="D423">
        <v>23.445</v>
      </c>
    </row>
    <row r="424" spans="1:4" x14ac:dyDescent="0.3">
      <c r="A424" t="s">
        <v>1167</v>
      </c>
      <c r="B424" t="s">
        <v>1168</v>
      </c>
      <c r="C424" t="s">
        <v>199</v>
      </c>
      <c r="D424">
        <v>78.852999999999994</v>
      </c>
    </row>
    <row r="425" spans="1:4" x14ac:dyDescent="0.3">
      <c r="A425" t="s">
        <v>1171</v>
      </c>
      <c r="B425" t="s">
        <v>1172</v>
      </c>
      <c r="C425" t="s">
        <v>452</v>
      </c>
      <c r="D425">
        <v>109.923</v>
      </c>
    </row>
    <row r="426" spans="1:4" x14ac:dyDescent="0.3">
      <c r="A426" t="s">
        <v>1173</v>
      </c>
      <c r="B426" t="s">
        <v>1174</v>
      </c>
      <c r="C426" t="s">
        <v>1175</v>
      </c>
      <c r="D426">
        <v>27.818000000000001</v>
      </c>
    </row>
    <row r="427" spans="1:4" x14ac:dyDescent="0.3">
      <c r="A427" t="s">
        <v>1176</v>
      </c>
      <c r="B427" t="s">
        <v>2414</v>
      </c>
      <c r="C427" t="s">
        <v>273</v>
      </c>
      <c r="D427">
        <v>46.744999999999997</v>
      </c>
    </row>
    <row r="428" spans="1:4" x14ac:dyDescent="0.3">
      <c r="A428" t="s">
        <v>1178</v>
      </c>
      <c r="B428" t="s">
        <v>1179</v>
      </c>
      <c r="C428" t="s">
        <v>198</v>
      </c>
      <c r="D428">
        <v>150.81899999999999</v>
      </c>
    </row>
    <row r="429" spans="1:4" x14ac:dyDescent="0.3">
      <c r="A429" t="s">
        <v>1180</v>
      </c>
      <c r="B429" t="s">
        <v>1181</v>
      </c>
      <c r="C429" t="s">
        <v>198</v>
      </c>
      <c r="D429">
        <v>163.58600000000001</v>
      </c>
    </row>
    <row r="430" spans="1:4" x14ac:dyDescent="0.3">
      <c r="A430" t="s">
        <v>1184</v>
      </c>
      <c r="B430" t="s">
        <v>1185</v>
      </c>
      <c r="C430" t="s">
        <v>209</v>
      </c>
      <c r="D430">
        <v>3.242</v>
      </c>
    </row>
    <row r="431" spans="1:4" x14ac:dyDescent="0.3">
      <c r="A431" t="s">
        <v>1186</v>
      </c>
      <c r="B431" t="s">
        <v>1187</v>
      </c>
      <c r="C431" t="s">
        <v>198</v>
      </c>
      <c r="D431">
        <v>35.194000000000003</v>
      </c>
    </row>
    <row r="432" spans="1:4" x14ac:dyDescent="0.3">
      <c r="A432" t="s">
        <v>1188</v>
      </c>
      <c r="B432" t="s">
        <v>1189</v>
      </c>
      <c r="C432" t="s">
        <v>257</v>
      </c>
      <c r="D432">
        <v>3921.5059999999999</v>
      </c>
    </row>
    <row r="433" spans="1:4" x14ac:dyDescent="0.3">
      <c r="A433" t="s">
        <v>1190</v>
      </c>
      <c r="B433" t="s">
        <v>1191</v>
      </c>
      <c r="C433" t="s">
        <v>199</v>
      </c>
      <c r="D433">
        <v>60.779000000000003</v>
      </c>
    </row>
    <row r="434" spans="1:4" x14ac:dyDescent="0.3">
      <c r="A434" t="s">
        <v>1192</v>
      </c>
      <c r="B434" t="s">
        <v>1193</v>
      </c>
      <c r="C434" t="s">
        <v>199</v>
      </c>
      <c r="D434">
        <v>1.984</v>
      </c>
    </row>
    <row r="435" spans="1:4" x14ac:dyDescent="0.3">
      <c r="A435" t="s">
        <v>1194</v>
      </c>
      <c r="B435" t="s">
        <v>1195</v>
      </c>
      <c r="C435" t="s">
        <v>198</v>
      </c>
      <c r="D435">
        <v>22.273</v>
      </c>
    </row>
    <row r="436" spans="1:4" x14ac:dyDescent="0.3">
      <c r="A436" t="s">
        <v>1196</v>
      </c>
      <c r="B436" t="s">
        <v>1197</v>
      </c>
      <c r="C436" t="s">
        <v>257</v>
      </c>
      <c r="D436">
        <v>41.826999999999998</v>
      </c>
    </row>
    <row r="437" spans="1:4" x14ac:dyDescent="0.3">
      <c r="A437" t="s">
        <v>1816</v>
      </c>
      <c r="B437" t="s">
        <v>1817</v>
      </c>
      <c r="C437" t="s">
        <v>199</v>
      </c>
      <c r="D437">
        <v>628.36799999999994</v>
      </c>
    </row>
    <row r="438" spans="1:4" x14ac:dyDescent="0.3">
      <c r="A438" t="s">
        <v>1198</v>
      </c>
      <c r="B438" t="s">
        <v>1199</v>
      </c>
      <c r="C438" t="s">
        <v>257</v>
      </c>
      <c r="D438">
        <v>0.59699999999999998</v>
      </c>
    </row>
    <row r="439" spans="1:4" x14ac:dyDescent="0.3">
      <c r="A439" t="s">
        <v>1200</v>
      </c>
      <c r="B439" t="s">
        <v>1201</v>
      </c>
      <c r="C439" t="s">
        <v>396</v>
      </c>
      <c r="D439">
        <v>1574.0650000000001</v>
      </c>
    </row>
    <row r="440" spans="1:4" x14ac:dyDescent="0.3">
      <c r="A440" t="s">
        <v>1202</v>
      </c>
      <c r="B440" t="s">
        <v>1203</v>
      </c>
      <c r="C440" t="s">
        <v>257</v>
      </c>
      <c r="D440">
        <v>3.931</v>
      </c>
    </row>
    <row r="441" spans="1:4" x14ac:dyDescent="0.3">
      <c r="A441" t="s">
        <v>1204</v>
      </c>
      <c r="B441" t="s">
        <v>1205</v>
      </c>
      <c r="C441" t="s">
        <v>199</v>
      </c>
      <c r="D441">
        <v>50.948999999999998</v>
      </c>
    </row>
    <row r="442" spans="1:4" x14ac:dyDescent="0.3">
      <c r="A442" t="s">
        <v>1206</v>
      </c>
      <c r="B442" t="s">
        <v>1207</v>
      </c>
      <c r="C442" t="s">
        <v>199</v>
      </c>
      <c r="D442">
        <v>42.302</v>
      </c>
    </row>
    <row r="443" spans="1:4" x14ac:dyDescent="0.3">
      <c r="A443" t="s">
        <v>1211</v>
      </c>
      <c r="B443" t="s">
        <v>1212</v>
      </c>
      <c r="C443" t="s">
        <v>198</v>
      </c>
      <c r="D443">
        <v>3.6549999999999998</v>
      </c>
    </row>
    <row r="444" spans="1:4" x14ac:dyDescent="0.3">
      <c r="A444" t="s">
        <v>192</v>
      </c>
      <c r="B444" t="s">
        <v>1213</v>
      </c>
      <c r="C444" t="s">
        <v>198</v>
      </c>
      <c r="D444">
        <v>1.8129999999999999</v>
      </c>
    </row>
    <row r="445" spans="1:4" x14ac:dyDescent="0.3">
      <c r="A445" t="s">
        <v>1216</v>
      </c>
      <c r="B445" t="s">
        <v>1217</v>
      </c>
      <c r="C445" t="s">
        <v>198</v>
      </c>
      <c r="D445">
        <v>6.4189999999999996</v>
      </c>
    </row>
    <row r="446" spans="1:4" x14ac:dyDescent="0.3">
      <c r="A446" t="s">
        <v>195</v>
      </c>
      <c r="B446" t="s">
        <v>1218</v>
      </c>
      <c r="C446" t="s">
        <v>688</v>
      </c>
      <c r="D446">
        <v>1.2889999999999999</v>
      </c>
    </row>
    <row r="447" spans="1:4" x14ac:dyDescent="0.3">
      <c r="A447" t="s">
        <v>1219</v>
      </c>
      <c r="B447" t="s">
        <v>1220</v>
      </c>
      <c r="C447" t="s">
        <v>273</v>
      </c>
      <c r="D447">
        <v>112.98699999999999</v>
      </c>
    </row>
    <row r="448" spans="1:4" x14ac:dyDescent="0.3">
      <c r="A448" t="s">
        <v>1221</v>
      </c>
      <c r="B448" t="s">
        <v>1222</v>
      </c>
      <c r="C448" t="s">
        <v>199</v>
      </c>
      <c r="D448">
        <v>1.351</v>
      </c>
    </row>
    <row r="449" spans="1:4" x14ac:dyDescent="0.3">
      <c r="A449" t="s">
        <v>1223</v>
      </c>
      <c r="B449" t="s">
        <v>1224</v>
      </c>
      <c r="C449" t="s">
        <v>209</v>
      </c>
      <c r="D449">
        <v>74.277000000000001</v>
      </c>
    </row>
    <row r="450" spans="1:4" x14ac:dyDescent="0.3">
      <c r="A450" t="s">
        <v>1225</v>
      </c>
      <c r="B450" t="s">
        <v>1226</v>
      </c>
      <c r="C450" t="s">
        <v>284</v>
      </c>
      <c r="D450">
        <v>1.738</v>
      </c>
    </row>
    <row r="451" spans="1:4" x14ac:dyDescent="0.3">
      <c r="A451" t="s">
        <v>1227</v>
      </c>
      <c r="B451" t="s">
        <v>1228</v>
      </c>
      <c r="C451" t="s">
        <v>284</v>
      </c>
      <c r="D451">
        <v>89.21</v>
      </c>
    </row>
    <row r="452" spans="1:4" x14ac:dyDescent="0.3">
      <c r="A452" t="s">
        <v>1229</v>
      </c>
      <c r="B452" t="s">
        <v>1230</v>
      </c>
      <c r="C452" t="s">
        <v>442</v>
      </c>
      <c r="D452">
        <v>6.4989999999999997</v>
      </c>
    </row>
    <row r="453" spans="1:4" x14ac:dyDescent="0.3">
      <c r="A453" t="s">
        <v>1231</v>
      </c>
      <c r="B453" t="s">
        <v>1232</v>
      </c>
      <c r="C453" t="s">
        <v>1233</v>
      </c>
      <c r="D453">
        <v>467.57600000000002</v>
      </c>
    </row>
    <row r="454" spans="1:4" x14ac:dyDescent="0.3">
      <c r="A454" t="s">
        <v>1529</v>
      </c>
      <c r="B454" t="s">
        <v>1595</v>
      </c>
      <c r="C454" t="s">
        <v>273</v>
      </c>
      <c r="D454">
        <v>193.15555555555557</v>
      </c>
    </row>
    <row r="455" spans="1:4" x14ac:dyDescent="0.3">
      <c r="A455" t="s">
        <v>1234</v>
      </c>
      <c r="B455" t="s">
        <v>1235</v>
      </c>
      <c r="C455" t="s">
        <v>198</v>
      </c>
      <c r="D455">
        <v>45.631999999999998</v>
      </c>
    </row>
    <row r="456" spans="1:4" x14ac:dyDescent="0.3">
      <c r="A456" t="s">
        <v>1236</v>
      </c>
      <c r="B456" t="s">
        <v>1237</v>
      </c>
      <c r="C456" t="s">
        <v>311</v>
      </c>
      <c r="D456">
        <v>3.0649999999999999</v>
      </c>
    </row>
    <row r="457" spans="1:4" x14ac:dyDescent="0.3">
      <c r="A457" t="s">
        <v>1238</v>
      </c>
      <c r="B457" t="s">
        <v>1239</v>
      </c>
      <c r="C457" t="s">
        <v>198</v>
      </c>
      <c r="D457">
        <v>70.593000000000004</v>
      </c>
    </row>
    <row r="458" spans="1:4" x14ac:dyDescent="0.3">
      <c r="A458" t="s">
        <v>1240</v>
      </c>
      <c r="B458" t="s">
        <v>1241</v>
      </c>
      <c r="C458" t="s">
        <v>405</v>
      </c>
      <c r="D458">
        <v>26.273</v>
      </c>
    </row>
    <row r="459" spans="1:4" x14ac:dyDescent="0.3">
      <c r="A459" t="s">
        <v>1242</v>
      </c>
      <c r="B459" t="s">
        <v>1243</v>
      </c>
      <c r="C459" t="s">
        <v>442</v>
      </c>
      <c r="D459">
        <v>2.472</v>
      </c>
    </row>
    <row r="460" spans="1:4" x14ac:dyDescent="0.3">
      <c r="A460" t="s">
        <v>1244</v>
      </c>
      <c r="B460" t="s">
        <v>1245</v>
      </c>
      <c r="C460" t="s">
        <v>200</v>
      </c>
      <c r="D460">
        <v>35.445</v>
      </c>
    </row>
    <row r="461" spans="1:4" x14ac:dyDescent="0.3">
      <c r="A461" t="s">
        <v>1246</v>
      </c>
      <c r="B461" t="s">
        <v>1247</v>
      </c>
      <c r="C461" t="s">
        <v>1248</v>
      </c>
      <c r="D461">
        <v>34.380000000000003</v>
      </c>
    </row>
    <row r="462" spans="1:4" x14ac:dyDescent="0.3">
      <c r="A462" t="s">
        <v>1249</v>
      </c>
      <c r="B462" t="s">
        <v>1250</v>
      </c>
      <c r="C462" t="s">
        <v>1251</v>
      </c>
      <c r="D462">
        <v>218.17400000000001</v>
      </c>
    </row>
    <row r="463" spans="1:4" x14ac:dyDescent="0.3">
      <c r="A463" t="s">
        <v>1252</v>
      </c>
      <c r="B463" t="s">
        <v>1253</v>
      </c>
      <c r="C463" t="s">
        <v>198</v>
      </c>
      <c r="D463">
        <v>33.195999999999998</v>
      </c>
    </row>
    <row r="464" spans="1:4" x14ac:dyDescent="0.3">
      <c r="A464" t="s">
        <v>1254</v>
      </c>
      <c r="B464" t="s">
        <v>1255</v>
      </c>
      <c r="C464" t="s">
        <v>209</v>
      </c>
      <c r="D464">
        <v>3452.33</v>
      </c>
    </row>
    <row r="465" spans="1:4" x14ac:dyDescent="0.3">
      <c r="A465" t="s">
        <v>1256</v>
      </c>
      <c r="B465" t="s">
        <v>1257</v>
      </c>
      <c r="C465" t="s">
        <v>209</v>
      </c>
      <c r="D465">
        <v>30441.898000000001</v>
      </c>
    </row>
    <row r="466" spans="1:4" x14ac:dyDescent="0.3">
      <c r="A466" t="s">
        <v>1258</v>
      </c>
      <c r="B466" t="s">
        <v>1259</v>
      </c>
      <c r="C466" t="s">
        <v>198</v>
      </c>
      <c r="D466">
        <v>148.631</v>
      </c>
    </row>
    <row r="467" spans="1:4" x14ac:dyDescent="0.3">
      <c r="A467" t="s">
        <v>1545</v>
      </c>
      <c r="B467" t="s">
        <v>1818</v>
      </c>
      <c r="C467" t="s">
        <v>199</v>
      </c>
      <c r="D467">
        <v>322.65899999999999</v>
      </c>
    </row>
    <row r="468" spans="1:4" x14ac:dyDescent="0.3">
      <c r="A468" t="s">
        <v>1260</v>
      </c>
      <c r="B468" t="s">
        <v>1261</v>
      </c>
      <c r="C468" t="s">
        <v>209</v>
      </c>
      <c r="D468">
        <v>1055.9159999999999</v>
      </c>
    </row>
    <row r="469" spans="1:4" x14ac:dyDescent="0.3">
      <c r="A469" t="s">
        <v>193</v>
      </c>
      <c r="B469" t="s">
        <v>1262</v>
      </c>
      <c r="C469" t="s">
        <v>200</v>
      </c>
      <c r="D469">
        <v>0.245</v>
      </c>
    </row>
    <row r="470" spans="1:4" x14ac:dyDescent="0.3">
      <c r="A470" t="s">
        <v>1263</v>
      </c>
      <c r="B470" t="s">
        <v>1262</v>
      </c>
      <c r="C470" t="s">
        <v>209</v>
      </c>
      <c r="D470">
        <v>2.4580000000000002</v>
      </c>
    </row>
    <row r="471" spans="1:4" x14ac:dyDescent="0.3">
      <c r="A471" t="s">
        <v>1264</v>
      </c>
      <c r="B471" t="s">
        <v>1265</v>
      </c>
      <c r="C471" t="s">
        <v>209</v>
      </c>
      <c r="D471">
        <v>152.11000000000001</v>
      </c>
    </row>
    <row r="472" spans="1:4" x14ac:dyDescent="0.3">
      <c r="A472" t="s">
        <v>1268</v>
      </c>
      <c r="B472" t="s">
        <v>1269</v>
      </c>
      <c r="C472" t="s">
        <v>396</v>
      </c>
      <c r="D472">
        <v>0.20499999999999999</v>
      </c>
    </row>
    <row r="473" spans="1:4" x14ac:dyDescent="0.3">
      <c r="A473" t="s">
        <v>1270</v>
      </c>
      <c r="B473" t="s">
        <v>1271</v>
      </c>
      <c r="C473" t="s">
        <v>198</v>
      </c>
      <c r="D473">
        <v>11.228</v>
      </c>
    </row>
    <row r="474" spans="1:4" x14ac:dyDescent="0.3">
      <c r="A474" t="s">
        <v>1272</v>
      </c>
      <c r="B474" t="s">
        <v>1273</v>
      </c>
      <c r="C474" t="s">
        <v>1274</v>
      </c>
      <c r="D474">
        <v>15030.175999999999</v>
      </c>
    </row>
    <row r="475" spans="1:4" x14ac:dyDescent="0.3">
      <c r="A475" t="s">
        <v>1275</v>
      </c>
      <c r="B475" t="s">
        <v>1276</v>
      </c>
      <c r="C475" t="s">
        <v>198</v>
      </c>
      <c r="D475">
        <v>0.129</v>
      </c>
    </row>
    <row r="476" spans="1:4" x14ac:dyDescent="0.3">
      <c r="A476" t="s">
        <v>1277</v>
      </c>
      <c r="B476" t="s">
        <v>1278</v>
      </c>
      <c r="C476" t="s">
        <v>199</v>
      </c>
      <c r="D476">
        <v>2005.2070000000001</v>
      </c>
    </row>
    <row r="477" spans="1:4" x14ac:dyDescent="0.3">
      <c r="A477" t="s">
        <v>1279</v>
      </c>
      <c r="B477" t="s">
        <v>1280</v>
      </c>
      <c r="C477" t="s">
        <v>198</v>
      </c>
      <c r="D477">
        <v>48.573999999999998</v>
      </c>
    </row>
    <row r="478" spans="1:4" x14ac:dyDescent="0.3">
      <c r="A478" t="s">
        <v>1281</v>
      </c>
      <c r="B478" t="s">
        <v>1282</v>
      </c>
      <c r="C478" t="s">
        <v>200</v>
      </c>
      <c r="D478">
        <v>144.07599999999999</v>
      </c>
    </row>
    <row r="479" spans="1:4" x14ac:dyDescent="0.3">
      <c r="A479" t="s">
        <v>1283</v>
      </c>
      <c r="B479" t="s">
        <v>1284</v>
      </c>
      <c r="C479" t="s">
        <v>199</v>
      </c>
      <c r="D479">
        <v>51.036000000000001</v>
      </c>
    </row>
    <row r="480" spans="1:4" x14ac:dyDescent="0.3">
      <c r="A480" t="s">
        <v>1285</v>
      </c>
      <c r="B480" t="s">
        <v>1286</v>
      </c>
      <c r="C480" t="s">
        <v>200</v>
      </c>
      <c r="D480">
        <v>29.876999999999999</v>
      </c>
    </row>
    <row r="481" spans="1:4" x14ac:dyDescent="0.3">
      <c r="A481" t="s">
        <v>1287</v>
      </c>
      <c r="B481" t="s">
        <v>1288</v>
      </c>
      <c r="C481" t="s">
        <v>198</v>
      </c>
      <c r="D481">
        <v>5.5049999999999999</v>
      </c>
    </row>
    <row r="482" spans="1:4" x14ac:dyDescent="0.3">
      <c r="A482" t="s">
        <v>1289</v>
      </c>
      <c r="B482" t="s">
        <v>1290</v>
      </c>
      <c r="C482" t="s">
        <v>198</v>
      </c>
      <c r="D482">
        <v>27.155000000000001</v>
      </c>
    </row>
    <row r="483" spans="1:4" x14ac:dyDescent="0.3">
      <c r="A483" t="s">
        <v>1291</v>
      </c>
      <c r="B483" t="s">
        <v>1292</v>
      </c>
      <c r="C483" t="s">
        <v>199</v>
      </c>
      <c r="D483">
        <v>62.843000000000004</v>
      </c>
    </row>
    <row r="484" spans="1:4" x14ac:dyDescent="0.3">
      <c r="A484" t="s">
        <v>1293</v>
      </c>
      <c r="B484" t="s">
        <v>1294</v>
      </c>
      <c r="C484" t="s">
        <v>199</v>
      </c>
      <c r="D484">
        <v>58.44</v>
      </c>
    </row>
    <row r="485" spans="1:4" x14ac:dyDescent="0.3">
      <c r="A485" t="s">
        <v>1295</v>
      </c>
      <c r="B485" t="s">
        <v>1296</v>
      </c>
      <c r="C485" t="s">
        <v>199</v>
      </c>
      <c r="D485">
        <v>114.036</v>
      </c>
    </row>
    <row r="486" spans="1:4" x14ac:dyDescent="0.3">
      <c r="A486" t="s">
        <v>1297</v>
      </c>
      <c r="B486" t="s">
        <v>1298</v>
      </c>
      <c r="C486" t="s">
        <v>199</v>
      </c>
      <c r="D486">
        <v>67.459000000000003</v>
      </c>
    </row>
    <row r="487" spans="1:4" x14ac:dyDescent="0.3">
      <c r="A487" t="s">
        <v>1299</v>
      </c>
      <c r="B487" t="s">
        <v>1300</v>
      </c>
      <c r="C487" t="s">
        <v>198</v>
      </c>
      <c r="D487">
        <v>11.807</v>
      </c>
    </row>
    <row r="488" spans="1:4" x14ac:dyDescent="0.3">
      <c r="A488" t="s">
        <v>1301</v>
      </c>
      <c r="B488" t="s">
        <v>1302</v>
      </c>
      <c r="C488" t="s">
        <v>198</v>
      </c>
      <c r="D488">
        <v>267.077</v>
      </c>
    </row>
    <row r="489" spans="1:4" x14ac:dyDescent="0.3">
      <c r="A489" t="s">
        <v>1303</v>
      </c>
      <c r="B489" t="s">
        <v>1304</v>
      </c>
      <c r="C489" t="s">
        <v>200</v>
      </c>
      <c r="D489">
        <v>57.665999999999997</v>
      </c>
    </row>
    <row r="490" spans="1:4" x14ac:dyDescent="0.3">
      <c r="A490" t="s">
        <v>2415</v>
      </c>
      <c r="B490" t="s">
        <v>2416</v>
      </c>
      <c r="C490" t="s">
        <v>257</v>
      </c>
      <c r="D490">
        <v>915.29600000000005</v>
      </c>
    </row>
    <row r="491" spans="1:4" x14ac:dyDescent="0.3">
      <c r="A491" t="s">
        <v>1310</v>
      </c>
      <c r="B491" t="s">
        <v>1311</v>
      </c>
      <c r="C491" t="s">
        <v>198</v>
      </c>
      <c r="D491">
        <v>329.04199999999997</v>
      </c>
    </row>
    <row r="492" spans="1:4" x14ac:dyDescent="0.3">
      <c r="A492" t="s">
        <v>1312</v>
      </c>
      <c r="B492" t="s">
        <v>1313</v>
      </c>
      <c r="C492" t="s">
        <v>405</v>
      </c>
      <c r="D492">
        <v>343.98700000000002</v>
      </c>
    </row>
    <row r="493" spans="1:4" x14ac:dyDescent="0.3">
      <c r="A493" t="s">
        <v>1314</v>
      </c>
      <c r="B493" t="s">
        <v>1315</v>
      </c>
      <c r="C493" t="s">
        <v>1316</v>
      </c>
      <c r="D493">
        <v>49.7</v>
      </c>
    </row>
    <row r="494" spans="1:4" x14ac:dyDescent="0.3">
      <c r="A494" t="s">
        <v>1317</v>
      </c>
      <c r="B494" t="s">
        <v>1318</v>
      </c>
      <c r="C494" t="s">
        <v>198</v>
      </c>
      <c r="D494">
        <v>10.561</v>
      </c>
    </row>
    <row r="495" spans="1:4" x14ac:dyDescent="0.3">
      <c r="A495" t="s">
        <v>1319</v>
      </c>
      <c r="B495" t="s">
        <v>1320</v>
      </c>
      <c r="C495" t="s">
        <v>198</v>
      </c>
      <c r="D495">
        <v>73.769000000000005</v>
      </c>
    </row>
    <row r="496" spans="1:4" x14ac:dyDescent="0.3">
      <c r="A496" t="s">
        <v>1323</v>
      </c>
      <c r="B496" t="s">
        <v>1324</v>
      </c>
      <c r="C496" t="s">
        <v>273</v>
      </c>
      <c r="D496">
        <v>1.036</v>
      </c>
    </row>
    <row r="497" spans="1:4" x14ac:dyDescent="0.3">
      <c r="A497" t="s">
        <v>1325</v>
      </c>
      <c r="B497" t="s">
        <v>1326</v>
      </c>
      <c r="C497" t="s">
        <v>273</v>
      </c>
      <c r="D497">
        <v>296.41899999999998</v>
      </c>
    </row>
    <row r="498" spans="1:4" x14ac:dyDescent="0.3">
      <c r="A498" t="s">
        <v>1327</v>
      </c>
      <c r="B498" t="s">
        <v>1328</v>
      </c>
      <c r="C498" t="s">
        <v>198</v>
      </c>
      <c r="D498">
        <v>30.692</v>
      </c>
    </row>
    <row r="499" spans="1:4" x14ac:dyDescent="0.3">
      <c r="A499" t="s">
        <v>1329</v>
      </c>
      <c r="B499" t="s">
        <v>1819</v>
      </c>
      <c r="C499" t="s">
        <v>199</v>
      </c>
      <c r="D499">
        <v>103.72799999999999</v>
      </c>
    </row>
    <row r="500" spans="1:4" x14ac:dyDescent="0.3">
      <c r="A500" t="s">
        <v>1333</v>
      </c>
      <c r="B500" t="s">
        <v>1334</v>
      </c>
      <c r="C500" t="s">
        <v>442</v>
      </c>
      <c r="D500">
        <v>1249.174</v>
      </c>
    </row>
    <row r="501" spans="1:4" x14ac:dyDescent="0.3">
      <c r="A501" t="s">
        <v>1335</v>
      </c>
      <c r="B501" t="s">
        <v>1336</v>
      </c>
      <c r="C501" t="s">
        <v>198</v>
      </c>
      <c r="D501">
        <v>3.8090000000000002</v>
      </c>
    </row>
    <row r="502" spans="1:4" x14ac:dyDescent="0.3">
      <c r="A502" t="s">
        <v>1337</v>
      </c>
      <c r="B502" t="s">
        <v>1338</v>
      </c>
      <c r="C502" t="s">
        <v>198</v>
      </c>
      <c r="D502">
        <v>5.2149999999999999</v>
      </c>
    </row>
    <row r="503" spans="1:4" x14ac:dyDescent="0.3">
      <c r="A503" t="s">
        <v>1339</v>
      </c>
      <c r="B503" t="s">
        <v>1340</v>
      </c>
      <c r="C503" t="s">
        <v>198</v>
      </c>
      <c r="D503">
        <v>2807.145</v>
      </c>
    </row>
    <row r="504" spans="1:4" x14ac:dyDescent="0.3">
      <c r="A504" t="s">
        <v>1341</v>
      </c>
      <c r="B504" t="s">
        <v>1342</v>
      </c>
      <c r="C504" t="s">
        <v>199</v>
      </c>
      <c r="D504">
        <v>17.233000000000001</v>
      </c>
    </row>
    <row r="505" spans="1:4" x14ac:dyDescent="0.3">
      <c r="A505" t="s">
        <v>1343</v>
      </c>
      <c r="B505" t="s">
        <v>1344</v>
      </c>
      <c r="C505" t="s">
        <v>553</v>
      </c>
      <c r="D505">
        <v>97.242000000000004</v>
      </c>
    </row>
    <row r="506" spans="1:4" x14ac:dyDescent="0.3">
      <c r="A506" t="s">
        <v>1345</v>
      </c>
      <c r="B506" t="s">
        <v>1346</v>
      </c>
      <c r="C506" t="s">
        <v>198</v>
      </c>
      <c r="D506">
        <v>8.0850000000000009</v>
      </c>
    </row>
    <row r="507" spans="1:4" x14ac:dyDescent="0.3">
      <c r="A507" t="s">
        <v>1347</v>
      </c>
      <c r="B507" t="s">
        <v>1348</v>
      </c>
      <c r="C507" t="s">
        <v>522</v>
      </c>
      <c r="D507">
        <v>11.798999999999999</v>
      </c>
    </row>
    <row r="508" spans="1:4" x14ac:dyDescent="0.3">
      <c r="A508" t="s">
        <v>1349</v>
      </c>
      <c r="B508" t="s">
        <v>1350</v>
      </c>
      <c r="C508" t="s">
        <v>951</v>
      </c>
      <c r="D508">
        <v>54.72</v>
      </c>
    </row>
    <row r="509" spans="1:4" x14ac:dyDescent="0.3">
      <c r="A509" t="s">
        <v>1351</v>
      </c>
      <c r="B509" t="s">
        <v>1352</v>
      </c>
      <c r="C509" t="s">
        <v>1353</v>
      </c>
      <c r="D509">
        <v>22.488399999999999</v>
      </c>
    </row>
    <row r="510" spans="1:4" x14ac:dyDescent="0.3">
      <c r="A510" t="s">
        <v>1354</v>
      </c>
      <c r="B510" t="s">
        <v>1355</v>
      </c>
      <c r="C510" t="s">
        <v>522</v>
      </c>
      <c r="D510">
        <v>53.438000000000002</v>
      </c>
    </row>
    <row r="511" spans="1:4" x14ac:dyDescent="0.3">
      <c r="A511" t="s">
        <v>1356</v>
      </c>
      <c r="B511" t="s">
        <v>1357</v>
      </c>
      <c r="C511" t="s">
        <v>198</v>
      </c>
      <c r="D511">
        <v>0.96099999999999997</v>
      </c>
    </row>
    <row r="512" spans="1:4" x14ac:dyDescent="0.3">
      <c r="A512" t="s">
        <v>1358</v>
      </c>
      <c r="B512" t="s">
        <v>1359</v>
      </c>
      <c r="C512" t="s">
        <v>198</v>
      </c>
      <c r="D512">
        <v>0.96099999999999997</v>
      </c>
    </row>
    <row r="513" spans="1:4" x14ac:dyDescent="0.3">
      <c r="A513" t="s">
        <v>1360</v>
      </c>
      <c r="B513" t="s">
        <v>1361</v>
      </c>
      <c r="C513" t="s">
        <v>198</v>
      </c>
      <c r="D513">
        <v>4.2000000000000003E-2</v>
      </c>
    </row>
    <row r="514" spans="1:4" x14ac:dyDescent="0.3">
      <c r="A514" t="s">
        <v>1362</v>
      </c>
      <c r="B514" t="s">
        <v>1363</v>
      </c>
      <c r="C514" t="s">
        <v>209</v>
      </c>
      <c r="D514">
        <v>0.27200000000000002</v>
      </c>
    </row>
    <row r="515" spans="1:4" x14ac:dyDescent="0.3">
      <c r="A515" t="s">
        <v>1364</v>
      </c>
      <c r="B515" t="s">
        <v>1365</v>
      </c>
      <c r="C515" t="s">
        <v>200</v>
      </c>
      <c r="D515">
        <v>3.1E-2</v>
      </c>
    </row>
    <row r="516" spans="1:4" x14ac:dyDescent="0.3">
      <c r="A516" t="s">
        <v>1366</v>
      </c>
      <c r="B516" t="s">
        <v>1367</v>
      </c>
      <c r="C516" t="s">
        <v>198</v>
      </c>
      <c r="D516">
        <v>1.4730000000000001</v>
      </c>
    </row>
    <row r="517" spans="1:4" x14ac:dyDescent="0.3">
      <c r="A517" t="s">
        <v>1368</v>
      </c>
      <c r="B517" t="s">
        <v>1369</v>
      </c>
      <c r="C517" t="s">
        <v>1134</v>
      </c>
      <c r="D517">
        <v>3.2009999999999992</v>
      </c>
    </row>
    <row r="518" spans="1:4" x14ac:dyDescent="0.3">
      <c r="A518" t="s">
        <v>1370</v>
      </c>
      <c r="B518" t="s">
        <v>1371</v>
      </c>
      <c r="C518" t="s">
        <v>848</v>
      </c>
      <c r="D518">
        <v>2.1000000000000001E-2</v>
      </c>
    </row>
    <row r="519" spans="1:4" x14ac:dyDescent="0.3">
      <c r="A519" t="s">
        <v>1372</v>
      </c>
      <c r="B519" t="s">
        <v>1373</v>
      </c>
      <c r="C519" t="s">
        <v>214</v>
      </c>
      <c r="D519">
        <v>17.684999999999999</v>
      </c>
    </row>
    <row r="520" spans="1:4" x14ac:dyDescent="0.3">
      <c r="A520" t="s">
        <v>2417</v>
      </c>
      <c r="B520" t="s">
        <v>2418</v>
      </c>
      <c r="C520" t="s">
        <v>216</v>
      </c>
      <c r="D520">
        <v>17.684999999999999</v>
      </c>
    </row>
    <row r="521" spans="1:4" x14ac:dyDescent="0.3">
      <c r="A521" t="s">
        <v>1374</v>
      </c>
      <c r="B521" t="s">
        <v>1375</v>
      </c>
      <c r="C521" t="s">
        <v>1376</v>
      </c>
      <c r="D521">
        <v>41532.635000000002</v>
      </c>
    </row>
    <row r="522" spans="1:4" x14ac:dyDescent="0.3">
      <c r="A522" t="s">
        <v>191</v>
      </c>
      <c r="B522" t="s">
        <v>1377</v>
      </c>
      <c r="C522" t="s">
        <v>199</v>
      </c>
      <c r="D522">
        <v>372.49200000000002</v>
      </c>
    </row>
    <row r="523" spans="1:4" x14ac:dyDescent="0.3">
      <c r="A523" t="s">
        <v>1378</v>
      </c>
      <c r="B523" t="s">
        <v>1379</v>
      </c>
      <c r="C523" t="s">
        <v>452</v>
      </c>
      <c r="D523">
        <v>54.174999999999997</v>
      </c>
    </row>
    <row r="524" spans="1:4" x14ac:dyDescent="0.3">
      <c r="A524" t="s">
        <v>1380</v>
      </c>
      <c r="B524" t="s">
        <v>1381</v>
      </c>
      <c r="C524" t="s">
        <v>1382</v>
      </c>
      <c r="D524">
        <v>141.833</v>
      </c>
    </row>
    <row r="525" spans="1:4" x14ac:dyDescent="0.3">
      <c r="A525" t="s">
        <v>1383</v>
      </c>
      <c r="B525" t="s">
        <v>1384</v>
      </c>
      <c r="C525" t="s">
        <v>360</v>
      </c>
      <c r="D525">
        <v>1.3089999999999999</v>
      </c>
    </row>
    <row r="526" spans="1:4" x14ac:dyDescent="0.3">
      <c r="A526" t="s">
        <v>1385</v>
      </c>
      <c r="B526" t="s">
        <v>1386</v>
      </c>
      <c r="C526" t="s">
        <v>1042</v>
      </c>
      <c r="D526">
        <v>30.802</v>
      </c>
    </row>
    <row r="527" spans="1:4" x14ac:dyDescent="0.3">
      <c r="A527" t="s">
        <v>1387</v>
      </c>
      <c r="B527" t="s">
        <v>1388</v>
      </c>
      <c r="C527" t="s">
        <v>1042</v>
      </c>
      <c r="D527">
        <v>11.231999999999999</v>
      </c>
    </row>
    <row r="528" spans="1:4" x14ac:dyDescent="0.3">
      <c r="A528" t="s">
        <v>1389</v>
      </c>
      <c r="B528" t="s">
        <v>1390</v>
      </c>
      <c r="C528" t="s">
        <v>1042</v>
      </c>
      <c r="D528">
        <v>33.049999999999997</v>
      </c>
    </row>
    <row r="529" spans="1:4" x14ac:dyDescent="0.3">
      <c r="A529" t="s">
        <v>1391</v>
      </c>
      <c r="B529" t="s">
        <v>1392</v>
      </c>
      <c r="C529" t="s">
        <v>1042</v>
      </c>
      <c r="D529">
        <v>91.281999999999996</v>
      </c>
    </row>
    <row r="530" spans="1:4" x14ac:dyDescent="0.3">
      <c r="A530" t="s">
        <v>1395</v>
      </c>
      <c r="B530" t="s">
        <v>1396</v>
      </c>
      <c r="C530" t="s">
        <v>1042</v>
      </c>
      <c r="D530">
        <v>7.758</v>
      </c>
    </row>
    <row r="531" spans="1:4" x14ac:dyDescent="0.3">
      <c r="A531" t="s">
        <v>1397</v>
      </c>
      <c r="B531" t="s">
        <v>1398</v>
      </c>
      <c r="C531" t="s">
        <v>574</v>
      </c>
      <c r="D531">
        <v>972.55</v>
      </c>
    </row>
    <row r="532" spans="1:4" x14ac:dyDescent="0.3">
      <c r="A532" t="s">
        <v>1399</v>
      </c>
      <c r="B532" t="s">
        <v>1400</v>
      </c>
      <c r="C532" t="s">
        <v>574</v>
      </c>
      <c r="D532">
        <v>972.55</v>
      </c>
    </row>
    <row r="533" spans="1:4" x14ac:dyDescent="0.3">
      <c r="A533" t="s">
        <v>1401</v>
      </c>
      <c r="B533" t="s">
        <v>1402</v>
      </c>
      <c r="C533" t="s">
        <v>1042</v>
      </c>
      <c r="D533">
        <v>10.074</v>
      </c>
    </row>
    <row r="534" spans="1:4" x14ac:dyDescent="0.3">
      <c r="A534" t="s">
        <v>1403</v>
      </c>
      <c r="B534" t="s">
        <v>1404</v>
      </c>
      <c r="C534" t="s">
        <v>1042</v>
      </c>
      <c r="D534">
        <v>44.914000000000001</v>
      </c>
    </row>
    <row r="535" spans="1:4" x14ac:dyDescent="0.3">
      <c r="A535" t="s">
        <v>2297</v>
      </c>
      <c r="B535" t="s">
        <v>1402</v>
      </c>
      <c r="C535" t="s">
        <v>1042</v>
      </c>
      <c r="D535">
        <v>31.614999999999998</v>
      </c>
    </row>
    <row r="536" spans="1:4" x14ac:dyDescent="0.3">
      <c r="A536" t="s">
        <v>2421</v>
      </c>
      <c r="B536" t="s">
        <v>2422</v>
      </c>
      <c r="C536" t="s">
        <v>1042</v>
      </c>
      <c r="D536">
        <v>160.624</v>
      </c>
    </row>
    <row r="537" spans="1:4" x14ac:dyDescent="0.3">
      <c r="A537" t="s">
        <v>1405</v>
      </c>
      <c r="B537" t="s">
        <v>1406</v>
      </c>
      <c r="C537" t="s">
        <v>1042</v>
      </c>
      <c r="D537">
        <v>133.90199999999999</v>
      </c>
    </row>
    <row r="538" spans="1:4" x14ac:dyDescent="0.3">
      <c r="A538" t="s">
        <v>1407</v>
      </c>
      <c r="B538" t="s">
        <v>2623</v>
      </c>
      <c r="C538" t="s">
        <v>1042</v>
      </c>
      <c r="D538">
        <v>132.48599999999999</v>
      </c>
    </row>
    <row r="539" spans="1:4" x14ac:dyDescent="0.3">
      <c r="A539" t="s">
        <v>2624</v>
      </c>
      <c r="B539" t="s">
        <v>2625</v>
      </c>
      <c r="C539" t="s">
        <v>1042</v>
      </c>
      <c r="D539">
        <v>87.665999999999997</v>
      </c>
    </row>
    <row r="540" spans="1:4" x14ac:dyDescent="0.3">
      <c r="A540" t="s">
        <v>1429</v>
      </c>
      <c r="B540" t="s">
        <v>2425</v>
      </c>
      <c r="C540" t="s">
        <v>452</v>
      </c>
      <c r="D540">
        <v>0.65263839718326111</v>
      </c>
    </row>
    <row r="541" spans="1:4" x14ac:dyDescent="0.3">
      <c r="A541" t="s">
        <v>1431</v>
      </c>
      <c r="B541" t="s">
        <v>1432</v>
      </c>
      <c r="C541" t="s">
        <v>199</v>
      </c>
      <c r="D541">
        <v>64.978576000000004</v>
      </c>
    </row>
    <row r="542" spans="1:4" x14ac:dyDescent="0.3">
      <c r="A542" t="s">
        <v>1433</v>
      </c>
      <c r="B542" t="s">
        <v>1434</v>
      </c>
      <c r="C542" t="s">
        <v>199</v>
      </c>
      <c r="D542">
        <v>69.222275999999994</v>
      </c>
    </row>
    <row r="543" spans="1:4" x14ac:dyDescent="0.3">
      <c r="A543" t="s">
        <v>1435</v>
      </c>
      <c r="B543" t="s">
        <v>2626</v>
      </c>
      <c r="C543" t="s">
        <v>360</v>
      </c>
      <c r="D543">
        <v>1.1691800000000001</v>
      </c>
    </row>
    <row r="544" spans="1:4" x14ac:dyDescent="0.3">
      <c r="A544" t="s">
        <v>1437</v>
      </c>
      <c r="B544" t="s">
        <v>2627</v>
      </c>
      <c r="C544" t="s">
        <v>432</v>
      </c>
      <c r="D544">
        <v>11.691800000000001</v>
      </c>
    </row>
    <row r="545" spans="1:4" x14ac:dyDescent="0.3">
      <c r="A545" t="s">
        <v>1445</v>
      </c>
      <c r="B545" t="s">
        <v>1446</v>
      </c>
      <c r="C545" t="s">
        <v>204</v>
      </c>
      <c r="D545">
        <v>20.864999999999998</v>
      </c>
    </row>
    <row r="546" spans="1:4" x14ac:dyDescent="0.3">
      <c r="A546" t="s">
        <v>1447</v>
      </c>
      <c r="B546" t="s">
        <v>1448</v>
      </c>
      <c r="C546" t="s">
        <v>204</v>
      </c>
      <c r="D546">
        <v>33.061</v>
      </c>
    </row>
    <row r="547" spans="1:4" x14ac:dyDescent="0.3">
      <c r="A547" t="s">
        <v>1449</v>
      </c>
      <c r="B547" t="s">
        <v>1450</v>
      </c>
      <c r="C547" t="s">
        <v>204</v>
      </c>
      <c r="D547">
        <v>49.591999999999999</v>
      </c>
    </row>
    <row r="548" spans="1:4" x14ac:dyDescent="0.3">
      <c r="A548" t="s">
        <v>1451</v>
      </c>
      <c r="B548" t="s">
        <v>1452</v>
      </c>
      <c r="C548" t="s">
        <v>204</v>
      </c>
      <c r="D548">
        <v>7.9000000000000001E-2</v>
      </c>
    </row>
    <row r="549" spans="1:4" x14ac:dyDescent="0.3">
      <c r="A549" t="s">
        <v>1610</v>
      </c>
      <c r="B549" t="s">
        <v>1611</v>
      </c>
      <c r="C549" t="s">
        <v>204</v>
      </c>
      <c r="D549">
        <v>0.24099999999999999</v>
      </c>
    </row>
    <row r="550" spans="1:4" x14ac:dyDescent="0.3">
      <c r="A550" t="s">
        <v>1612</v>
      </c>
      <c r="B550" t="s">
        <v>1613</v>
      </c>
      <c r="C550" t="s">
        <v>204</v>
      </c>
      <c r="D550">
        <v>0.26600000000000001</v>
      </c>
    </row>
    <row r="551" spans="1:4" x14ac:dyDescent="0.3">
      <c r="A551" t="s">
        <v>1453</v>
      </c>
      <c r="B551" t="s">
        <v>1454</v>
      </c>
      <c r="C551" t="s">
        <v>204</v>
      </c>
      <c r="D551">
        <v>0.20699999999999999</v>
      </c>
    </row>
    <row r="552" spans="1:4" x14ac:dyDescent="0.3">
      <c r="A552" t="s">
        <v>1455</v>
      </c>
      <c r="B552" t="s">
        <v>1456</v>
      </c>
      <c r="C552" t="s">
        <v>204</v>
      </c>
      <c r="D552">
        <v>0.89500000000000002</v>
      </c>
    </row>
    <row r="553" spans="1:4" x14ac:dyDescent="0.3">
      <c r="A553" t="s">
        <v>1457</v>
      </c>
      <c r="B553" t="s">
        <v>1458</v>
      </c>
      <c r="C553" t="s">
        <v>204</v>
      </c>
      <c r="D553">
        <v>0.33600000000000002</v>
      </c>
    </row>
    <row r="554" spans="1:4" x14ac:dyDescent="0.3">
      <c r="A554" t="s">
        <v>1459</v>
      </c>
      <c r="B554" t="s">
        <v>1460</v>
      </c>
      <c r="C554" t="s">
        <v>204</v>
      </c>
      <c r="D554">
        <v>0.122</v>
      </c>
    </row>
    <row r="555" spans="1:4" x14ac:dyDescent="0.3">
      <c r="A555" t="s">
        <v>1461</v>
      </c>
      <c r="B555" t="s">
        <v>1462</v>
      </c>
      <c r="C555" t="s">
        <v>1463</v>
      </c>
      <c r="D555">
        <v>1674.8000000000002</v>
      </c>
    </row>
    <row r="556" spans="1:4" x14ac:dyDescent="0.3">
      <c r="A556" t="s">
        <v>1464</v>
      </c>
      <c r="B556" t="s">
        <v>1465</v>
      </c>
      <c r="C556" t="s">
        <v>1466</v>
      </c>
      <c r="D556">
        <v>1674.8000000000002</v>
      </c>
    </row>
    <row r="557" spans="1:4" x14ac:dyDescent="0.3">
      <c r="A557" t="s">
        <v>2628</v>
      </c>
      <c r="B557" t="s">
        <v>2629</v>
      </c>
      <c r="C557" t="s">
        <v>198</v>
      </c>
      <c r="D557">
        <v>18.881</v>
      </c>
    </row>
    <row r="558" spans="1:4" x14ac:dyDescent="0.3">
      <c r="A558" t="s">
        <v>2630</v>
      </c>
      <c r="B558" t="s">
        <v>2631</v>
      </c>
      <c r="C558" t="s">
        <v>396</v>
      </c>
      <c r="D558">
        <v>49.475999999999999</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55565-CCC6-4E5C-94B9-A4BDED2C971C}">
  <dimension ref="A1:D567"/>
  <sheetViews>
    <sheetView topLeftCell="A472" workbookViewId="0">
      <selection activeCell="B488" sqref="B488"/>
    </sheetView>
  </sheetViews>
  <sheetFormatPr defaultRowHeight="14.4" x14ac:dyDescent="0.3"/>
  <cols>
    <col min="1" max="1" width="14.77734375" customWidth="1"/>
    <col min="2" max="2" width="23.5546875" bestFit="1" customWidth="1"/>
    <col min="3" max="3" width="22.21875" customWidth="1"/>
    <col min="4" max="4" width="16.44140625" customWidth="1"/>
  </cols>
  <sheetData>
    <row r="1" spans="1:4" x14ac:dyDescent="0.3">
      <c r="A1" s="108" t="s">
        <v>201</v>
      </c>
      <c r="B1" s="109" t="s">
        <v>202</v>
      </c>
      <c r="C1" s="110" t="s">
        <v>196</v>
      </c>
      <c r="D1" s="111" t="s">
        <v>197</v>
      </c>
    </row>
    <row r="2" spans="1:4" x14ac:dyDescent="0.3">
      <c r="A2" s="93">
        <v>90371</v>
      </c>
      <c r="B2" s="94" t="s">
        <v>203</v>
      </c>
      <c r="C2" s="95" t="s">
        <v>204</v>
      </c>
      <c r="D2" s="96">
        <v>119.53700000000001</v>
      </c>
    </row>
    <row r="3" spans="1:4" x14ac:dyDescent="0.3">
      <c r="A3" s="93">
        <v>90375</v>
      </c>
      <c r="B3" s="94" t="s">
        <v>205</v>
      </c>
      <c r="C3" s="95" t="s">
        <v>206</v>
      </c>
      <c r="D3" s="96">
        <v>307.024</v>
      </c>
    </row>
    <row r="4" spans="1:4" x14ac:dyDescent="0.3">
      <c r="A4" s="93">
        <v>90376</v>
      </c>
      <c r="B4" s="94" t="s">
        <v>207</v>
      </c>
      <c r="C4" s="95" t="s">
        <v>206</v>
      </c>
      <c r="D4" s="96">
        <v>311.99</v>
      </c>
    </row>
    <row r="5" spans="1:4" x14ac:dyDescent="0.3">
      <c r="A5" s="93">
        <v>90585</v>
      </c>
      <c r="B5" s="94" t="s">
        <v>208</v>
      </c>
      <c r="C5" s="95" t="s">
        <v>209</v>
      </c>
      <c r="D5" s="96">
        <v>140.25700000000001</v>
      </c>
    </row>
    <row r="6" spans="1:4" x14ac:dyDescent="0.3">
      <c r="A6" s="93">
        <v>90586</v>
      </c>
      <c r="B6" s="94" t="s">
        <v>210</v>
      </c>
      <c r="C6" s="95" t="s">
        <v>211</v>
      </c>
      <c r="D6" s="96">
        <v>140.25700000000001</v>
      </c>
    </row>
    <row r="7" spans="1:4" x14ac:dyDescent="0.3">
      <c r="A7" s="93">
        <v>90632</v>
      </c>
      <c r="B7" s="94" t="s">
        <v>212</v>
      </c>
      <c r="C7" s="95" t="s">
        <v>204</v>
      </c>
      <c r="D7" s="96">
        <v>58.271999999999998</v>
      </c>
    </row>
    <row r="8" spans="1:4" x14ac:dyDescent="0.3">
      <c r="A8" s="93">
        <v>90653</v>
      </c>
      <c r="B8" s="94" t="s">
        <v>213</v>
      </c>
      <c r="C8" s="95" t="s">
        <v>214</v>
      </c>
      <c r="D8" s="96">
        <v>54.673000000000002</v>
      </c>
    </row>
    <row r="9" spans="1:4" x14ac:dyDescent="0.3">
      <c r="A9" s="93">
        <v>90656</v>
      </c>
      <c r="B9" s="94" t="s">
        <v>215</v>
      </c>
      <c r="C9" s="95" t="s">
        <v>216</v>
      </c>
      <c r="D9" s="96">
        <v>19.773</v>
      </c>
    </row>
    <row r="10" spans="1:4" x14ac:dyDescent="0.3">
      <c r="A10" s="93">
        <v>90662</v>
      </c>
      <c r="B10" s="94" t="s">
        <v>217</v>
      </c>
      <c r="C10" s="95" t="s">
        <v>216</v>
      </c>
      <c r="D10" s="96">
        <v>53.372999999999998</v>
      </c>
    </row>
    <row r="11" spans="1:4" x14ac:dyDescent="0.3">
      <c r="A11" s="93">
        <v>90670</v>
      </c>
      <c r="B11" s="94" t="s">
        <v>218</v>
      </c>
      <c r="C11" s="95" t="s">
        <v>216</v>
      </c>
      <c r="D11" s="96">
        <v>205.113</v>
      </c>
    </row>
    <row r="12" spans="1:4" ht="27" x14ac:dyDescent="0.3">
      <c r="A12" s="97">
        <v>90674</v>
      </c>
      <c r="B12" s="94" t="s">
        <v>219</v>
      </c>
      <c r="C12" s="98" t="s">
        <v>216</v>
      </c>
      <c r="D12" s="96">
        <v>24.047000000000001</v>
      </c>
    </row>
    <row r="13" spans="1:4" x14ac:dyDescent="0.3">
      <c r="A13" s="93">
        <v>90675</v>
      </c>
      <c r="B13" s="94" t="s">
        <v>220</v>
      </c>
      <c r="C13" s="95" t="s">
        <v>204</v>
      </c>
      <c r="D13" s="96">
        <v>289.976</v>
      </c>
    </row>
    <row r="14" spans="1:4" ht="27" x14ac:dyDescent="0.3">
      <c r="A14" s="93">
        <v>90682</v>
      </c>
      <c r="B14" s="94" t="s">
        <v>221</v>
      </c>
      <c r="C14" s="11" t="s">
        <v>216</v>
      </c>
      <c r="D14" s="96">
        <v>53.372999999999998</v>
      </c>
    </row>
    <row r="15" spans="1:4" ht="27" x14ac:dyDescent="0.3">
      <c r="A15" s="97">
        <v>90685</v>
      </c>
      <c r="B15" s="94" t="s">
        <v>222</v>
      </c>
      <c r="C15" s="99" t="s">
        <v>223</v>
      </c>
      <c r="D15" s="96">
        <v>21.812999999999999</v>
      </c>
    </row>
    <row r="16" spans="1:4" x14ac:dyDescent="0.3">
      <c r="A16" s="97">
        <v>90686</v>
      </c>
      <c r="B16" s="94" t="s">
        <v>224</v>
      </c>
      <c r="C16" s="99" t="s">
        <v>214</v>
      </c>
      <c r="D16" s="96">
        <v>19.032299999999999</v>
      </c>
    </row>
    <row r="17" spans="1:4" x14ac:dyDescent="0.3">
      <c r="A17" s="93">
        <v>90687</v>
      </c>
      <c r="B17" s="94" t="s">
        <v>225</v>
      </c>
      <c r="C17" s="95" t="s">
        <v>226</v>
      </c>
      <c r="D17" s="96">
        <v>9.4030000000000005</v>
      </c>
    </row>
    <row r="18" spans="1:4" x14ac:dyDescent="0.3">
      <c r="A18" s="97">
        <v>90688</v>
      </c>
      <c r="B18" s="94" t="s">
        <v>227</v>
      </c>
      <c r="C18" s="99" t="s">
        <v>216</v>
      </c>
      <c r="D18" s="96">
        <v>17.8353</v>
      </c>
    </row>
    <row r="19" spans="1:4" x14ac:dyDescent="0.3">
      <c r="A19" s="93">
        <v>90691</v>
      </c>
      <c r="B19" s="94" t="s">
        <v>228</v>
      </c>
      <c r="C19" s="95" t="s">
        <v>216</v>
      </c>
      <c r="D19" s="96">
        <v>69.887920000000008</v>
      </c>
    </row>
    <row r="20" spans="1:4" x14ac:dyDescent="0.3">
      <c r="A20" s="93">
        <v>90714</v>
      </c>
      <c r="B20" s="94" t="s">
        <v>229</v>
      </c>
      <c r="C20" s="95" t="s">
        <v>216</v>
      </c>
      <c r="D20" s="96">
        <v>23.126000000000001</v>
      </c>
    </row>
    <row r="21" spans="1:4" x14ac:dyDescent="0.3">
      <c r="A21" s="93">
        <v>90715</v>
      </c>
      <c r="B21" s="94" t="s">
        <v>230</v>
      </c>
      <c r="C21" s="95" t="s">
        <v>216</v>
      </c>
      <c r="D21" s="96">
        <v>32.335000000000001</v>
      </c>
    </row>
    <row r="22" spans="1:4" ht="27" x14ac:dyDescent="0.3">
      <c r="A22" s="93">
        <v>90732</v>
      </c>
      <c r="B22" s="94" t="s">
        <v>231</v>
      </c>
      <c r="C22" s="95" t="s">
        <v>216</v>
      </c>
      <c r="D22" s="96">
        <v>107.74615</v>
      </c>
    </row>
    <row r="23" spans="1:4" x14ac:dyDescent="0.3">
      <c r="A23" s="93">
        <v>90739</v>
      </c>
      <c r="B23" s="94" t="s">
        <v>232</v>
      </c>
      <c r="C23" s="95" t="s">
        <v>233</v>
      </c>
      <c r="D23" s="96">
        <v>131.1</v>
      </c>
    </row>
    <row r="24" spans="1:4" ht="27" x14ac:dyDescent="0.3">
      <c r="A24" s="93">
        <v>90740</v>
      </c>
      <c r="B24" s="94" t="s">
        <v>234</v>
      </c>
      <c r="C24" s="95" t="s">
        <v>235</v>
      </c>
      <c r="D24" s="96">
        <v>130.24499999999998</v>
      </c>
    </row>
    <row r="25" spans="1:4" ht="27" x14ac:dyDescent="0.3">
      <c r="A25" s="93">
        <v>90744</v>
      </c>
      <c r="B25" s="94" t="s">
        <v>236</v>
      </c>
      <c r="C25" s="95" t="s">
        <v>237</v>
      </c>
      <c r="D25" s="96">
        <v>26.135000000000002</v>
      </c>
    </row>
    <row r="26" spans="1:4" ht="27" x14ac:dyDescent="0.3">
      <c r="A26" s="93">
        <v>90746</v>
      </c>
      <c r="B26" s="94" t="s">
        <v>238</v>
      </c>
      <c r="C26" s="95" t="s">
        <v>239</v>
      </c>
      <c r="D26" s="96">
        <v>65.123000000000005</v>
      </c>
    </row>
    <row r="27" spans="1:4" ht="27" x14ac:dyDescent="0.3">
      <c r="A27" s="93">
        <v>90747</v>
      </c>
      <c r="B27" s="94" t="s">
        <v>240</v>
      </c>
      <c r="C27" s="95" t="s">
        <v>235</v>
      </c>
      <c r="D27" s="96">
        <v>130.24499999999998</v>
      </c>
    </row>
    <row r="28" spans="1:4" x14ac:dyDescent="0.3">
      <c r="A28" s="93">
        <v>90756</v>
      </c>
      <c r="B28" s="94" t="s">
        <v>241</v>
      </c>
      <c r="C28" s="11" t="s">
        <v>216</v>
      </c>
      <c r="D28" s="96">
        <v>22.792999999999999</v>
      </c>
    </row>
    <row r="29" spans="1:4" ht="27" x14ac:dyDescent="0.3">
      <c r="A29" s="93" t="s">
        <v>1549</v>
      </c>
      <c r="B29" s="94" t="s">
        <v>1550</v>
      </c>
      <c r="C29" s="95" t="s">
        <v>1810</v>
      </c>
      <c r="D29" s="96">
        <v>0.21299999999999999</v>
      </c>
    </row>
    <row r="30" spans="1:4" x14ac:dyDescent="0.3">
      <c r="A30" s="93" t="s">
        <v>242</v>
      </c>
      <c r="B30" s="94" t="s">
        <v>243</v>
      </c>
      <c r="C30" s="95" t="s">
        <v>204</v>
      </c>
      <c r="D30" s="96">
        <v>1.496</v>
      </c>
    </row>
    <row r="31" spans="1:4" x14ac:dyDescent="0.3">
      <c r="A31" s="93" t="s">
        <v>244</v>
      </c>
      <c r="B31" s="94" t="s">
        <v>245</v>
      </c>
      <c r="C31" s="95" t="s">
        <v>204</v>
      </c>
      <c r="D31" s="96">
        <v>2.0139999999999998</v>
      </c>
    </row>
    <row r="32" spans="1:4" x14ac:dyDescent="0.3">
      <c r="A32" s="93" t="s">
        <v>246</v>
      </c>
      <c r="B32" s="94" t="s">
        <v>247</v>
      </c>
      <c r="C32" s="95" t="s">
        <v>204</v>
      </c>
      <c r="D32" s="96">
        <v>1.94</v>
      </c>
    </row>
    <row r="33" spans="1:4" ht="27" x14ac:dyDescent="0.3">
      <c r="A33" s="93" t="s">
        <v>248</v>
      </c>
      <c r="B33" s="94" t="s">
        <v>249</v>
      </c>
      <c r="C33" s="95" t="s">
        <v>204</v>
      </c>
      <c r="D33" s="96">
        <v>1.7450000000000001</v>
      </c>
    </row>
    <row r="34" spans="1:4" x14ac:dyDescent="0.3">
      <c r="A34" s="100" t="s">
        <v>250</v>
      </c>
      <c r="B34" s="94" t="s">
        <v>251</v>
      </c>
      <c r="C34" s="101" t="s">
        <v>204</v>
      </c>
      <c r="D34" s="96">
        <v>14.749000000000001</v>
      </c>
    </row>
    <row r="35" spans="1:4" x14ac:dyDescent="0.3">
      <c r="A35" s="93" t="s">
        <v>252</v>
      </c>
      <c r="B35" s="94" t="s">
        <v>253</v>
      </c>
      <c r="C35" s="33" t="s">
        <v>254</v>
      </c>
      <c r="D35" s="96">
        <v>0.38900000000000001</v>
      </c>
    </row>
    <row r="36" spans="1:4" x14ac:dyDescent="0.3">
      <c r="A36" s="97" t="s">
        <v>255</v>
      </c>
      <c r="B36" s="94" t="s">
        <v>256</v>
      </c>
      <c r="C36" s="99" t="s">
        <v>257</v>
      </c>
      <c r="D36" s="96">
        <v>1088.1959999999999</v>
      </c>
    </row>
    <row r="37" spans="1:4" ht="27" x14ac:dyDescent="0.3">
      <c r="A37" s="93" t="s">
        <v>258</v>
      </c>
      <c r="B37" s="94" t="s">
        <v>259</v>
      </c>
      <c r="C37" s="33" t="s">
        <v>260</v>
      </c>
      <c r="D37" s="34" t="s">
        <v>1551</v>
      </c>
    </row>
    <row r="38" spans="1:4" x14ac:dyDescent="0.3">
      <c r="A38" s="93" t="s">
        <v>261</v>
      </c>
      <c r="B38" s="94" t="s">
        <v>262</v>
      </c>
      <c r="C38" s="33" t="s">
        <v>199</v>
      </c>
      <c r="D38" s="96">
        <v>51.613999999999997</v>
      </c>
    </row>
    <row r="39" spans="1:4" x14ac:dyDescent="0.3">
      <c r="A39" s="93" t="s">
        <v>263</v>
      </c>
      <c r="B39" s="94" t="s">
        <v>264</v>
      </c>
      <c r="C39" s="95" t="s">
        <v>199</v>
      </c>
      <c r="D39" s="96">
        <v>1429.0708000000002</v>
      </c>
    </row>
    <row r="40" spans="1:4" x14ac:dyDescent="0.3">
      <c r="A40" s="93" t="s">
        <v>265</v>
      </c>
      <c r="B40" s="94" t="s">
        <v>266</v>
      </c>
      <c r="C40" s="95" t="s">
        <v>257</v>
      </c>
      <c r="D40" s="96">
        <v>1.446</v>
      </c>
    </row>
    <row r="41" spans="1:4" x14ac:dyDescent="0.3">
      <c r="A41" s="93" t="s">
        <v>267</v>
      </c>
      <c r="B41" s="94" t="s">
        <v>268</v>
      </c>
      <c r="C41" s="95" t="s">
        <v>200</v>
      </c>
      <c r="D41" s="96">
        <v>4.8000000000000001E-2</v>
      </c>
    </row>
    <row r="42" spans="1:4" x14ac:dyDescent="0.3">
      <c r="A42" s="93" t="s">
        <v>269</v>
      </c>
      <c r="B42" s="94" t="s">
        <v>270</v>
      </c>
      <c r="C42" s="95" t="s">
        <v>198</v>
      </c>
      <c r="D42" s="96">
        <v>0.73099999999999998</v>
      </c>
    </row>
    <row r="43" spans="1:4" ht="27" x14ac:dyDescent="0.3">
      <c r="A43" s="93" t="s">
        <v>271</v>
      </c>
      <c r="B43" s="94" t="s">
        <v>272</v>
      </c>
      <c r="C43" s="95" t="s">
        <v>273</v>
      </c>
      <c r="D43" s="96">
        <v>0.73899999999999999</v>
      </c>
    </row>
    <row r="44" spans="1:4" x14ac:dyDescent="0.3">
      <c r="A44" s="93" t="s">
        <v>274</v>
      </c>
      <c r="B44" s="94" t="s">
        <v>275</v>
      </c>
      <c r="C44" s="95" t="s">
        <v>198</v>
      </c>
      <c r="D44" s="96">
        <v>963.53700000000003</v>
      </c>
    </row>
    <row r="45" spans="1:4" x14ac:dyDescent="0.3">
      <c r="A45" s="93" t="s">
        <v>276</v>
      </c>
      <c r="B45" s="94" t="s">
        <v>277</v>
      </c>
      <c r="C45" s="95" t="s">
        <v>198</v>
      </c>
      <c r="D45" s="96">
        <v>178.166</v>
      </c>
    </row>
    <row r="46" spans="1:4" x14ac:dyDescent="0.3">
      <c r="A46" s="97" t="s">
        <v>278</v>
      </c>
      <c r="B46" s="94" t="s">
        <v>279</v>
      </c>
      <c r="C46" s="99" t="s">
        <v>198</v>
      </c>
      <c r="D46" s="96">
        <v>2.109</v>
      </c>
    </row>
    <row r="47" spans="1:4" x14ac:dyDescent="0.3">
      <c r="A47" s="97" t="s">
        <v>280</v>
      </c>
      <c r="B47" s="94" t="s">
        <v>281</v>
      </c>
      <c r="C47" s="99" t="s">
        <v>198</v>
      </c>
      <c r="D47" s="96">
        <v>1882.06</v>
      </c>
    </row>
    <row r="48" spans="1:4" x14ac:dyDescent="0.3">
      <c r="A48" s="93" t="s">
        <v>282</v>
      </c>
      <c r="B48" s="94" t="s">
        <v>283</v>
      </c>
      <c r="C48" s="95" t="s">
        <v>284</v>
      </c>
      <c r="D48" s="96">
        <v>979.745</v>
      </c>
    </row>
    <row r="49" spans="1:4" x14ac:dyDescent="0.3">
      <c r="A49" s="93" t="s">
        <v>285</v>
      </c>
      <c r="B49" s="94" t="s">
        <v>286</v>
      </c>
      <c r="C49" s="95" t="s">
        <v>199</v>
      </c>
      <c r="D49" s="96">
        <v>166.2</v>
      </c>
    </row>
    <row r="50" spans="1:4" ht="27" x14ac:dyDescent="0.3">
      <c r="A50" s="93" t="s">
        <v>287</v>
      </c>
      <c r="B50" s="94" t="s">
        <v>288</v>
      </c>
      <c r="C50" s="95" t="s">
        <v>199</v>
      </c>
      <c r="D50" s="96">
        <v>4.55</v>
      </c>
    </row>
    <row r="51" spans="1:4" x14ac:dyDescent="0.3">
      <c r="A51" s="93" t="s">
        <v>289</v>
      </c>
      <c r="B51" s="94" t="s">
        <v>290</v>
      </c>
      <c r="C51" s="95" t="s">
        <v>199</v>
      </c>
      <c r="D51" s="96">
        <v>4.6959999999999997</v>
      </c>
    </row>
    <row r="52" spans="1:4" x14ac:dyDescent="0.3">
      <c r="A52" s="93" t="s">
        <v>291</v>
      </c>
      <c r="B52" s="94" t="s">
        <v>292</v>
      </c>
      <c r="C52" s="95" t="s">
        <v>257</v>
      </c>
      <c r="D52" s="96">
        <v>1.177</v>
      </c>
    </row>
    <row r="53" spans="1:4" x14ac:dyDescent="0.3">
      <c r="A53" s="93" t="s">
        <v>293</v>
      </c>
      <c r="B53" s="94" t="s">
        <v>294</v>
      </c>
      <c r="C53" s="95" t="s">
        <v>295</v>
      </c>
      <c r="D53" s="96">
        <v>7.0179999999999998</v>
      </c>
    </row>
    <row r="54" spans="1:4" x14ac:dyDescent="0.3">
      <c r="A54" s="93" t="s">
        <v>296</v>
      </c>
      <c r="B54" s="94" t="s">
        <v>297</v>
      </c>
      <c r="C54" s="95" t="s">
        <v>209</v>
      </c>
      <c r="D54" s="96">
        <v>31.667999999999999</v>
      </c>
    </row>
    <row r="55" spans="1:4" ht="27" x14ac:dyDescent="0.3">
      <c r="A55" s="93" t="s">
        <v>298</v>
      </c>
      <c r="B55" s="94" t="s">
        <v>299</v>
      </c>
      <c r="C55" s="95" t="s">
        <v>199</v>
      </c>
      <c r="D55" s="96">
        <v>8.0709999999999997</v>
      </c>
    </row>
    <row r="56" spans="1:4" ht="27" x14ac:dyDescent="0.3">
      <c r="A56" s="93" t="s">
        <v>300</v>
      </c>
      <c r="B56" s="94" t="s">
        <v>301</v>
      </c>
      <c r="C56" s="95" t="s">
        <v>199</v>
      </c>
      <c r="D56" s="96">
        <v>22.193000000000001</v>
      </c>
    </row>
    <row r="57" spans="1:4" x14ac:dyDescent="0.3">
      <c r="A57" s="93" t="s">
        <v>302</v>
      </c>
      <c r="B57" s="94" t="s">
        <v>303</v>
      </c>
      <c r="C57" s="95" t="s">
        <v>284</v>
      </c>
      <c r="D57" s="96">
        <v>1.002</v>
      </c>
    </row>
    <row r="58" spans="1:4" ht="27" x14ac:dyDescent="0.3">
      <c r="A58" s="93" t="s">
        <v>304</v>
      </c>
      <c r="B58" s="94" t="s">
        <v>305</v>
      </c>
      <c r="C58" s="95" t="s">
        <v>306</v>
      </c>
      <c r="D58" s="96">
        <v>2.6160000000000001</v>
      </c>
    </row>
    <row r="59" spans="1:4" x14ac:dyDescent="0.3">
      <c r="A59" s="93" t="s">
        <v>307</v>
      </c>
      <c r="B59" s="94" t="s">
        <v>308</v>
      </c>
      <c r="C59" s="95" t="s">
        <v>198</v>
      </c>
      <c r="D59" s="96">
        <v>0.55500000000000005</v>
      </c>
    </row>
    <row r="60" spans="1:4" x14ac:dyDescent="0.3">
      <c r="A60" s="93" t="s">
        <v>309</v>
      </c>
      <c r="B60" s="94" t="s">
        <v>310</v>
      </c>
      <c r="C60" s="95" t="s">
        <v>311</v>
      </c>
      <c r="D60" s="96">
        <v>2.5790000000000002</v>
      </c>
    </row>
    <row r="61" spans="1:4" x14ac:dyDescent="0.3">
      <c r="A61" s="93" t="s">
        <v>312</v>
      </c>
      <c r="B61" s="94" t="s">
        <v>313</v>
      </c>
      <c r="C61" s="95" t="s">
        <v>198</v>
      </c>
      <c r="D61" s="96">
        <v>5.4710000000000001</v>
      </c>
    </row>
    <row r="62" spans="1:4" x14ac:dyDescent="0.3">
      <c r="A62" s="93" t="s">
        <v>314</v>
      </c>
      <c r="B62" s="94" t="s">
        <v>315</v>
      </c>
      <c r="C62" s="95" t="s">
        <v>284</v>
      </c>
      <c r="D62" s="96">
        <v>2.762</v>
      </c>
    </row>
    <row r="63" spans="1:4" x14ac:dyDescent="0.3">
      <c r="A63" s="93" t="s">
        <v>316</v>
      </c>
      <c r="B63" s="94" t="s">
        <v>317</v>
      </c>
      <c r="C63" s="95" t="s">
        <v>318</v>
      </c>
      <c r="D63" s="96">
        <v>7.1999999999999995E-2</v>
      </c>
    </row>
    <row r="64" spans="1:4" x14ac:dyDescent="0.3">
      <c r="A64" s="93" t="s">
        <v>319</v>
      </c>
      <c r="B64" s="94" t="s">
        <v>320</v>
      </c>
      <c r="C64" s="95" t="s">
        <v>257</v>
      </c>
      <c r="D64" s="96">
        <v>54.420999999999999</v>
      </c>
    </row>
    <row r="65" spans="1:4" x14ac:dyDescent="0.3">
      <c r="A65" s="93" t="s">
        <v>321</v>
      </c>
      <c r="B65" s="94" t="s">
        <v>322</v>
      </c>
      <c r="C65" s="95" t="s">
        <v>199</v>
      </c>
      <c r="D65" s="96">
        <v>169.74799999999999</v>
      </c>
    </row>
    <row r="66" spans="1:4" x14ac:dyDescent="0.3">
      <c r="A66" s="93" t="s">
        <v>323</v>
      </c>
      <c r="B66" s="94" t="s">
        <v>324</v>
      </c>
      <c r="C66" s="95" t="s">
        <v>325</v>
      </c>
      <c r="D66" s="96">
        <v>44.353999999999999</v>
      </c>
    </row>
    <row r="67" spans="1:4" x14ac:dyDescent="0.3">
      <c r="A67" s="93" t="s">
        <v>326</v>
      </c>
      <c r="B67" s="94" t="s">
        <v>327</v>
      </c>
      <c r="C67" s="95" t="s">
        <v>311</v>
      </c>
      <c r="D67" s="96">
        <v>3677.6109999999999</v>
      </c>
    </row>
    <row r="68" spans="1:4" x14ac:dyDescent="0.3">
      <c r="A68" s="93" t="s">
        <v>328</v>
      </c>
      <c r="B68" s="94" t="s">
        <v>329</v>
      </c>
      <c r="C68" s="95" t="s">
        <v>198</v>
      </c>
      <c r="D68" s="96">
        <v>3.7919999999999998</v>
      </c>
    </row>
    <row r="69" spans="1:4" x14ac:dyDescent="0.3">
      <c r="A69" s="100" t="s">
        <v>330</v>
      </c>
      <c r="B69" s="94" t="s">
        <v>331</v>
      </c>
      <c r="C69" s="101" t="s">
        <v>199</v>
      </c>
      <c r="D69" s="96">
        <v>44.161000000000001</v>
      </c>
    </row>
    <row r="70" spans="1:4" x14ac:dyDescent="0.3">
      <c r="A70" s="93" t="s">
        <v>332</v>
      </c>
      <c r="B70" s="94" t="s">
        <v>333</v>
      </c>
      <c r="C70" s="95" t="s">
        <v>311</v>
      </c>
      <c r="D70" s="96">
        <v>69.650000000000006</v>
      </c>
    </row>
    <row r="71" spans="1:4" x14ac:dyDescent="0.3">
      <c r="A71" s="93" t="s">
        <v>334</v>
      </c>
      <c r="B71" s="94" t="s">
        <v>335</v>
      </c>
      <c r="C71" s="95" t="s">
        <v>198</v>
      </c>
      <c r="D71" s="96">
        <v>18.664999999999999</v>
      </c>
    </row>
    <row r="72" spans="1:4" x14ac:dyDescent="0.3">
      <c r="A72" s="97" t="s">
        <v>336</v>
      </c>
      <c r="B72" s="94" t="s">
        <v>337</v>
      </c>
      <c r="C72" s="99" t="s">
        <v>198</v>
      </c>
      <c r="D72" s="96">
        <v>167.04</v>
      </c>
    </row>
    <row r="73" spans="1:4" ht="27" x14ac:dyDescent="0.3">
      <c r="A73" s="93" t="s">
        <v>338</v>
      </c>
      <c r="B73" s="94" t="s">
        <v>339</v>
      </c>
      <c r="C73" s="95" t="s">
        <v>340</v>
      </c>
      <c r="D73" s="96">
        <v>10.964</v>
      </c>
    </row>
    <row r="74" spans="1:4" x14ac:dyDescent="0.3">
      <c r="A74" s="93" t="s">
        <v>341</v>
      </c>
      <c r="B74" s="94" t="s">
        <v>342</v>
      </c>
      <c r="C74" s="95" t="s">
        <v>340</v>
      </c>
      <c r="D74" s="96">
        <v>13.853</v>
      </c>
    </row>
    <row r="75" spans="1:4" x14ac:dyDescent="0.3">
      <c r="A75" s="97" t="s">
        <v>343</v>
      </c>
      <c r="B75" s="94" t="s">
        <v>344</v>
      </c>
      <c r="C75" s="99" t="s">
        <v>199</v>
      </c>
      <c r="D75" s="96">
        <v>40.093000000000004</v>
      </c>
    </row>
    <row r="76" spans="1:4" ht="27" x14ac:dyDescent="0.3">
      <c r="A76" s="93" t="s">
        <v>345</v>
      </c>
      <c r="B76" s="94" t="s">
        <v>346</v>
      </c>
      <c r="C76" s="95" t="s">
        <v>347</v>
      </c>
      <c r="D76" s="96">
        <v>1269.9069999999999</v>
      </c>
    </row>
    <row r="77" spans="1:4" x14ac:dyDescent="0.3">
      <c r="A77" s="93" t="s">
        <v>348</v>
      </c>
      <c r="B77" s="94" t="s">
        <v>349</v>
      </c>
      <c r="C77" s="95" t="s">
        <v>198</v>
      </c>
      <c r="D77" s="96">
        <v>0.79900000000000004</v>
      </c>
    </row>
    <row r="78" spans="1:4" ht="27" x14ac:dyDescent="0.3">
      <c r="A78" s="93" t="s">
        <v>352</v>
      </c>
      <c r="B78" s="94" t="s">
        <v>353</v>
      </c>
      <c r="C78" s="95" t="s">
        <v>354</v>
      </c>
      <c r="D78" s="96">
        <v>6.1369999999999996</v>
      </c>
    </row>
    <row r="79" spans="1:4" x14ac:dyDescent="0.3">
      <c r="A79" s="100" t="s">
        <v>355</v>
      </c>
      <c r="B79" s="94" t="s">
        <v>356</v>
      </c>
      <c r="C79" s="95" t="s">
        <v>357</v>
      </c>
      <c r="D79" s="96">
        <v>8.5329999999999995</v>
      </c>
    </row>
    <row r="80" spans="1:4" x14ac:dyDescent="0.3">
      <c r="A80" s="93" t="s">
        <v>358</v>
      </c>
      <c r="B80" s="94" t="s">
        <v>359</v>
      </c>
      <c r="C80" s="95" t="s">
        <v>360</v>
      </c>
      <c r="D80" s="96">
        <v>12.002000000000001</v>
      </c>
    </row>
    <row r="81" spans="1:4" x14ac:dyDescent="0.3">
      <c r="A81" s="93" t="s">
        <v>361</v>
      </c>
      <c r="B81" s="94" t="s">
        <v>362</v>
      </c>
      <c r="C81" s="101" t="s">
        <v>354</v>
      </c>
      <c r="D81" s="96">
        <v>5.08</v>
      </c>
    </row>
    <row r="82" spans="1:4" ht="27" x14ac:dyDescent="0.3">
      <c r="A82" s="93" t="s">
        <v>363</v>
      </c>
      <c r="B82" s="94" t="s">
        <v>364</v>
      </c>
      <c r="C82" s="95" t="s">
        <v>273</v>
      </c>
      <c r="D82" s="96">
        <v>4.1500000000000004</v>
      </c>
    </row>
    <row r="83" spans="1:4" x14ac:dyDescent="0.3">
      <c r="A83" s="93" t="s">
        <v>365</v>
      </c>
      <c r="B83" s="94" t="s">
        <v>366</v>
      </c>
      <c r="C83" s="95" t="s">
        <v>198</v>
      </c>
      <c r="D83" s="96">
        <v>10.821</v>
      </c>
    </row>
    <row r="84" spans="1:4" x14ac:dyDescent="0.3">
      <c r="A84" s="93" t="s">
        <v>367</v>
      </c>
      <c r="B84" s="94" t="s">
        <v>368</v>
      </c>
      <c r="C84" s="95" t="s">
        <v>198</v>
      </c>
      <c r="D84" s="96">
        <v>2.6240000000000001</v>
      </c>
    </row>
    <row r="85" spans="1:4" x14ac:dyDescent="0.3">
      <c r="A85" s="93" t="s">
        <v>369</v>
      </c>
      <c r="B85" s="94" t="s">
        <v>370</v>
      </c>
      <c r="C85" s="95" t="s">
        <v>371</v>
      </c>
      <c r="D85" s="96">
        <v>27.463000000000001</v>
      </c>
    </row>
    <row r="86" spans="1:4" x14ac:dyDescent="0.3">
      <c r="A86" s="93" t="s">
        <v>372</v>
      </c>
      <c r="B86" s="94" t="s">
        <v>373</v>
      </c>
      <c r="C86" s="95" t="s">
        <v>371</v>
      </c>
      <c r="D86" s="96">
        <v>48.917999999999999</v>
      </c>
    </row>
    <row r="87" spans="1:4" x14ac:dyDescent="0.3">
      <c r="A87" s="93" t="s">
        <v>374</v>
      </c>
      <c r="B87" s="94" t="s">
        <v>375</v>
      </c>
      <c r="C87" s="101" t="s">
        <v>371</v>
      </c>
      <c r="D87" s="96">
        <v>54.023000000000003</v>
      </c>
    </row>
    <row r="88" spans="1:4" ht="27" x14ac:dyDescent="0.3">
      <c r="A88" s="93" t="s">
        <v>376</v>
      </c>
      <c r="B88" s="94" t="s">
        <v>377</v>
      </c>
      <c r="C88" s="95" t="s">
        <v>378</v>
      </c>
      <c r="D88" s="96">
        <v>5594.4219999999996</v>
      </c>
    </row>
    <row r="89" spans="1:4" ht="27" x14ac:dyDescent="0.3">
      <c r="A89" s="93" t="s">
        <v>379</v>
      </c>
      <c r="B89" s="94" t="s">
        <v>380</v>
      </c>
      <c r="C89" s="95" t="s">
        <v>381</v>
      </c>
      <c r="D89" s="96">
        <v>4.3579999999999997</v>
      </c>
    </row>
    <row r="90" spans="1:4" x14ac:dyDescent="0.3">
      <c r="A90" s="93" t="s">
        <v>382</v>
      </c>
      <c r="B90" s="94" t="s">
        <v>383</v>
      </c>
      <c r="C90" s="95" t="s">
        <v>384</v>
      </c>
      <c r="D90" s="96">
        <v>2651.0970000000002</v>
      </c>
    </row>
    <row r="91" spans="1:4" x14ac:dyDescent="0.3">
      <c r="A91" s="93" t="s">
        <v>385</v>
      </c>
      <c r="B91" s="94" t="s">
        <v>386</v>
      </c>
      <c r="C91" s="95" t="s">
        <v>387</v>
      </c>
      <c r="D91" s="96">
        <v>0.45400000000000001</v>
      </c>
    </row>
    <row r="92" spans="1:4" x14ac:dyDescent="0.3">
      <c r="A92" s="93" t="s">
        <v>388</v>
      </c>
      <c r="B92" s="94" t="s">
        <v>389</v>
      </c>
      <c r="C92" s="95" t="s">
        <v>200</v>
      </c>
      <c r="D92" s="96">
        <v>10.023</v>
      </c>
    </row>
    <row r="93" spans="1:4" x14ac:dyDescent="0.3">
      <c r="A93" s="93" t="s">
        <v>390</v>
      </c>
      <c r="B93" s="94" t="s">
        <v>391</v>
      </c>
      <c r="C93" s="95" t="s">
        <v>198</v>
      </c>
      <c r="D93" s="96">
        <v>110.989</v>
      </c>
    </row>
    <row r="94" spans="1:4" ht="27" x14ac:dyDescent="0.3">
      <c r="A94" s="93" t="s">
        <v>392</v>
      </c>
      <c r="B94" s="94" t="s">
        <v>393</v>
      </c>
      <c r="C94" s="95" t="s">
        <v>209</v>
      </c>
      <c r="D94" s="96">
        <v>3.3460000000000001</v>
      </c>
    </row>
    <row r="95" spans="1:4" x14ac:dyDescent="0.3">
      <c r="A95" s="93" t="s">
        <v>394</v>
      </c>
      <c r="B95" s="94" t="s">
        <v>395</v>
      </c>
      <c r="C95" s="95" t="s">
        <v>396</v>
      </c>
      <c r="D95" s="96">
        <v>0.122</v>
      </c>
    </row>
    <row r="96" spans="1:4" x14ac:dyDescent="0.3">
      <c r="A96" s="93" t="s">
        <v>397</v>
      </c>
      <c r="B96" s="94" t="s">
        <v>398</v>
      </c>
      <c r="C96" s="95" t="s">
        <v>381</v>
      </c>
      <c r="D96" s="96">
        <v>2.4809999999999999</v>
      </c>
    </row>
    <row r="97" spans="1:4" x14ac:dyDescent="0.3">
      <c r="A97" s="93" t="s">
        <v>399</v>
      </c>
      <c r="B97" s="94" t="s">
        <v>400</v>
      </c>
      <c r="C97" s="95" t="s">
        <v>284</v>
      </c>
      <c r="D97" s="96">
        <v>0.82699999999999996</v>
      </c>
    </row>
    <row r="98" spans="1:4" x14ac:dyDescent="0.3">
      <c r="A98" s="93" t="s">
        <v>401</v>
      </c>
      <c r="B98" s="94" t="s">
        <v>402</v>
      </c>
      <c r="C98" s="95" t="s">
        <v>284</v>
      </c>
      <c r="D98" s="96">
        <v>2.4670000000000001</v>
      </c>
    </row>
    <row r="99" spans="1:4" x14ac:dyDescent="0.3">
      <c r="A99" s="93" t="s">
        <v>403</v>
      </c>
      <c r="B99" s="94" t="s">
        <v>404</v>
      </c>
      <c r="C99" s="95" t="s">
        <v>405</v>
      </c>
      <c r="D99" s="96">
        <v>3.5390000000000001</v>
      </c>
    </row>
    <row r="100" spans="1:4" x14ac:dyDescent="0.3">
      <c r="A100" s="97" t="s">
        <v>406</v>
      </c>
      <c r="B100" s="99" t="s">
        <v>407</v>
      </c>
      <c r="C100" s="99" t="s">
        <v>408</v>
      </c>
      <c r="D100" s="96">
        <v>5.4260000000000002</v>
      </c>
    </row>
    <row r="101" spans="1:4" ht="27" x14ac:dyDescent="0.3">
      <c r="A101" s="93" t="s">
        <v>409</v>
      </c>
      <c r="B101" s="94" t="s">
        <v>410</v>
      </c>
      <c r="C101" s="95" t="s">
        <v>295</v>
      </c>
      <c r="D101" s="96">
        <v>0.64600000000000002</v>
      </c>
    </row>
    <row r="102" spans="1:4" x14ac:dyDescent="0.3">
      <c r="A102" s="93" t="s">
        <v>411</v>
      </c>
      <c r="B102" s="94" t="s">
        <v>412</v>
      </c>
      <c r="C102" s="95" t="s">
        <v>413</v>
      </c>
      <c r="D102" s="96">
        <v>2.0920000000000001</v>
      </c>
    </row>
    <row r="103" spans="1:4" ht="27" x14ac:dyDescent="0.3">
      <c r="A103" s="93" t="s">
        <v>416</v>
      </c>
      <c r="B103" s="94" t="s">
        <v>417</v>
      </c>
      <c r="C103" s="95" t="s">
        <v>418</v>
      </c>
      <c r="D103" s="96">
        <v>6.8940000000000001</v>
      </c>
    </row>
    <row r="104" spans="1:4" x14ac:dyDescent="0.3">
      <c r="A104" s="93" t="s">
        <v>419</v>
      </c>
      <c r="B104" s="94" t="s">
        <v>420</v>
      </c>
      <c r="C104" s="95" t="s">
        <v>199</v>
      </c>
      <c r="D104" s="96">
        <v>2.907</v>
      </c>
    </row>
    <row r="105" spans="1:4" x14ac:dyDescent="0.3">
      <c r="A105" s="93" t="s">
        <v>421</v>
      </c>
      <c r="B105" s="94" t="s">
        <v>422</v>
      </c>
      <c r="C105" s="95" t="s">
        <v>284</v>
      </c>
      <c r="D105" s="96">
        <v>2.101</v>
      </c>
    </row>
    <row r="106" spans="1:4" x14ac:dyDescent="0.3">
      <c r="A106" s="100" t="s">
        <v>426</v>
      </c>
      <c r="B106" s="94" t="s">
        <v>427</v>
      </c>
      <c r="C106" s="95" t="s">
        <v>198</v>
      </c>
      <c r="D106" s="96">
        <v>7.8890000000000002</v>
      </c>
    </row>
    <row r="107" spans="1:4" ht="27" x14ac:dyDescent="0.3">
      <c r="A107" s="93" t="s">
        <v>428</v>
      </c>
      <c r="B107" s="94" t="s">
        <v>429</v>
      </c>
      <c r="C107" s="95" t="s">
        <v>405</v>
      </c>
      <c r="D107" s="96">
        <v>39.341000000000001</v>
      </c>
    </row>
    <row r="108" spans="1:4" ht="27" x14ac:dyDescent="0.3">
      <c r="A108" s="93" t="s">
        <v>430</v>
      </c>
      <c r="B108" s="94" t="s">
        <v>431</v>
      </c>
      <c r="C108" s="95" t="s">
        <v>432</v>
      </c>
      <c r="D108" s="96">
        <v>22.6</v>
      </c>
    </row>
    <row r="109" spans="1:4" x14ac:dyDescent="0.3">
      <c r="A109" s="93" t="s">
        <v>433</v>
      </c>
      <c r="B109" s="94" t="s">
        <v>434</v>
      </c>
      <c r="C109" s="95" t="s">
        <v>198</v>
      </c>
      <c r="D109" s="96">
        <v>13.430999999999999</v>
      </c>
    </row>
    <row r="110" spans="1:4" x14ac:dyDescent="0.3">
      <c r="A110" s="93" t="s">
        <v>435</v>
      </c>
      <c r="B110" s="94" t="s">
        <v>436</v>
      </c>
      <c r="C110" s="95" t="s">
        <v>437</v>
      </c>
      <c r="D110" s="96">
        <v>522.74400000000003</v>
      </c>
    </row>
    <row r="111" spans="1:4" x14ac:dyDescent="0.3">
      <c r="A111" s="93" t="s">
        <v>438</v>
      </c>
      <c r="B111" s="94" t="s">
        <v>439</v>
      </c>
      <c r="C111" s="95" t="s">
        <v>295</v>
      </c>
      <c r="D111" s="96">
        <v>6.95</v>
      </c>
    </row>
    <row r="112" spans="1:4" x14ac:dyDescent="0.3">
      <c r="A112" s="93" t="s">
        <v>440</v>
      </c>
      <c r="B112" s="94" t="s">
        <v>441</v>
      </c>
      <c r="C112" s="95" t="s">
        <v>442</v>
      </c>
      <c r="D112" s="96">
        <v>1.454</v>
      </c>
    </row>
    <row r="113" spans="1:4" x14ac:dyDescent="0.3">
      <c r="A113" s="93" t="s">
        <v>443</v>
      </c>
      <c r="B113" s="94" t="s">
        <v>444</v>
      </c>
      <c r="C113" s="95" t="s">
        <v>445</v>
      </c>
      <c r="D113" s="96">
        <v>15.301</v>
      </c>
    </row>
    <row r="114" spans="1:4" x14ac:dyDescent="0.3">
      <c r="A114" s="93" t="s">
        <v>446</v>
      </c>
      <c r="B114" s="94" t="s">
        <v>447</v>
      </c>
      <c r="C114" s="95" t="s">
        <v>318</v>
      </c>
      <c r="D114" s="96">
        <v>45.063000000000002</v>
      </c>
    </row>
    <row r="115" spans="1:4" x14ac:dyDescent="0.3">
      <c r="A115" s="93" t="s">
        <v>448</v>
      </c>
      <c r="B115" s="94" t="s">
        <v>449</v>
      </c>
      <c r="C115" s="95" t="s">
        <v>199</v>
      </c>
      <c r="D115" s="96">
        <v>10.061</v>
      </c>
    </row>
    <row r="116" spans="1:4" x14ac:dyDescent="0.3">
      <c r="A116" s="93" t="s">
        <v>450</v>
      </c>
      <c r="B116" s="94" t="s">
        <v>451</v>
      </c>
      <c r="C116" s="95" t="s">
        <v>452</v>
      </c>
      <c r="D116" s="96">
        <v>8.9280000000000008</v>
      </c>
    </row>
    <row r="117" spans="1:4" x14ac:dyDescent="0.3">
      <c r="A117" s="93" t="s">
        <v>453</v>
      </c>
      <c r="B117" s="94" t="s">
        <v>454</v>
      </c>
      <c r="C117" s="95" t="s">
        <v>455</v>
      </c>
      <c r="D117" s="96">
        <v>3976.0189999999998</v>
      </c>
    </row>
    <row r="118" spans="1:4" x14ac:dyDescent="0.3">
      <c r="A118" s="93" t="s">
        <v>456</v>
      </c>
      <c r="B118" s="94" t="s">
        <v>457</v>
      </c>
      <c r="C118" s="95" t="s">
        <v>458</v>
      </c>
      <c r="D118" s="96">
        <v>43.011000000000003</v>
      </c>
    </row>
    <row r="119" spans="1:4" ht="27" x14ac:dyDescent="0.3">
      <c r="A119" s="100" t="s">
        <v>459</v>
      </c>
      <c r="B119" s="94" t="s">
        <v>460</v>
      </c>
      <c r="C119" s="95" t="s">
        <v>461</v>
      </c>
      <c r="D119" s="96">
        <v>3291.2649999999999</v>
      </c>
    </row>
    <row r="120" spans="1:4" ht="27" x14ac:dyDescent="0.3">
      <c r="A120" s="93" t="s">
        <v>462</v>
      </c>
      <c r="B120" s="94" t="s">
        <v>463</v>
      </c>
      <c r="C120" s="95" t="s">
        <v>464</v>
      </c>
      <c r="D120" s="96">
        <v>1129.154</v>
      </c>
    </row>
    <row r="121" spans="1:4" x14ac:dyDescent="0.3">
      <c r="A121" s="97" t="s">
        <v>465</v>
      </c>
      <c r="B121" s="94" t="s">
        <v>466</v>
      </c>
      <c r="C121" s="99" t="s">
        <v>200</v>
      </c>
      <c r="D121" s="96">
        <v>13.553000000000001</v>
      </c>
    </row>
    <row r="122" spans="1:4" x14ac:dyDescent="0.3">
      <c r="A122" s="93" t="s">
        <v>467</v>
      </c>
      <c r="B122" s="94" t="s">
        <v>468</v>
      </c>
      <c r="C122" s="95" t="s">
        <v>198</v>
      </c>
      <c r="D122" s="96">
        <v>0.41399999999999998</v>
      </c>
    </row>
    <row r="123" spans="1:4" x14ac:dyDescent="0.3">
      <c r="A123" s="93" t="s">
        <v>469</v>
      </c>
      <c r="B123" s="94" t="s">
        <v>470</v>
      </c>
      <c r="C123" s="95" t="s">
        <v>452</v>
      </c>
      <c r="D123" s="96">
        <v>3.8319999999999999</v>
      </c>
    </row>
    <row r="124" spans="1:4" x14ac:dyDescent="0.3">
      <c r="A124" s="93" t="s">
        <v>471</v>
      </c>
      <c r="B124" s="94" t="s">
        <v>472</v>
      </c>
      <c r="C124" s="95" t="s">
        <v>452</v>
      </c>
      <c r="D124" s="96">
        <v>3.8319999999999999</v>
      </c>
    </row>
    <row r="125" spans="1:4" x14ac:dyDescent="0.3">
      <c r="A125" s="93" t="s">
        <v>473</v>
      </c>
      <c r="B125" s="94" t="s">
        <v>474</v>
      </c>
      <c r="C125" s="95" t="s">
        <v>432</v>
      </c>
      <c r="D125" s="96">
        <v>11.951000000000001</v>
      </c>
    </row>
    <row r="126" spans="1:4" x14ac:dyDescent="0.3">
      <c r="A126" s="93" t="s">
        <v>475</v>
      </c>
      <c r="B126" s="94" t="s">
        <v>476</v>
      </c>
      <c r="C126" s="11" t="s">
        <v>452</v>
      </c>
      <c r="D126" s="96">
        <v>1.7150000000000001</v>
      </c>
    </row>
    <row r="127" spans="1:4" x14ac:dyDescent="0.3">
      <c r="A127" s="93" t="s">
        <v>477</v>
      </c>
      <c r="B127" s="94" t="s">
        <v>478</v>
      </c>
      <c r="C127" s="11" t="s">
        <v>452</v>
      </c>
      <c r="D127" s="96">
        <v>1.7150000000000001</v>
      </c>
    </row>
    <row r="128" spans="1:4" x14ac:dyDescent="0.3">
      <c r="A128" s="93" t="s">
        <v>479</v>
      </c>
      <c r="B128" s="94" t="s">
        <v>480</v>
      </c>
      <c r="C128" s="95" t="s">
        <v>198</v>
      </c>
      <c r="D128" s="96">
        <v>12.631</v>
      </c>
    </row>
    <row r="129" spans="1:4" x14ac:dyDescent="0.3">
      <c r="A129" s="93" t="s">
        <v>481</v>
      </c>
      <c r="B129" s="94" t="s">
        <v>482</v>
      </c>
      <c r="C129" s="95" t="s">
        <v>284</v>
      </c>
      <c r="D129" s="96">
        <v>9.6150000000000002</v>
      </c>
    </row>
    <row r="130" spans="1:4" x14ac:dyDescent="0.3">
      <c r="A130" s="93" t="s">
        <v>483</v>
      </c>
      <c r="B130" s="94" t="s">
        <v>484</v>
      </c>
      <c r="C130" s="95" t="s">
        <v>198</v>
      </c>
      <c r="D130" s="96">
        <v>18.611000000000001</v>
      </c>
    </row>
    <row r="131" spans="1:4" ht="27" x14ac:dyDescent="0.3">
      <c r="A131" s="93" t="s">
        <v>485</v>
      </c>
      <c r="B131" s="94" t="s">
        <v>486</v>
      </c>
      <c r="C131" s="95" t="s">
        <v>200</v>
      </c>
      <c r="D131" s="96">
        <v>21.942</v>
      </c>
    </row>
    <row r="132" spans="1:4" ht="27" x14ac:dyDescent="0.3">
      <c r="A132" s="93" t="s">
        <v>487</v>
      </c>
      <c r="B132" s="94" t="s">
        <v>488</v>
      </c>
      <c r="C132" s="95" t="s">
        <v>311</v>
      </c>
      <c r="D132" s="96">
        <v>4.01</v>
      </c>
    </row>
    <row r="133" spans="1:4" ht="27" x14ac:dyDescent="0.3">
      <c r="A133" s="93" t="s">
        <v>489</v>
      </c>
      <c r="B133" s="94" t="s">
        <v>490</v>
      </c>
      <c r="C133" s="95" t="s">
        <v>491</v>
      </c>
      <c r="D133" s="96">
        <v>6.6</v>
      </c>
    </row>
    <row r="134" spans="1:4" ht="27" x14ac:dyDescent="0.3">
      <c r="A134" s="93" t="s">
        <v>492</v>
      </c>
      <c r="B134" s="94" t="s">
        <v>493</v>
      </c>
      <c r="C134" s="95" t="s">
        <v>494</v>
      </c>
      <c r="D134" s="96">
        <v>12.863</v>
      </c>
    </row>
    <row r="135" spans="1:4" ht="27" x14ac:dyDescent="0.3">
      <c r="A135" s="93" t="s">
        <v>495</v>
      </c>
      <c r="B135" s="94" t="s">
        <v>496</v>
      </c>
      <c r="C135" s="95" t="s">
        <v>198</v>
      </c>
      <c r="D135" s="96">
        <v>0.56100000000000005</v>
      </c>
    </row>
    <row r="136" spans="1:4" x14ac:dyDescent="0.3">
      <c r="A136" s="93" t="s">
        <v>497</v>
      </c>
      <c r="B136" s="94" t="s">
        <v>498</v>
      </c>
      <c r="C136" s="95" t="s">
        <v>198</v>
      </c>
      <c r="D136" s="96">
        <v>2.7E-2</v>
      </c>
    </row>
    <row r="137" spans="1:4" ht="27" x14ac:dyDescent="0.3">
      <c r="A137" s="93" t="s">
        <v>499</v>
      </c>
      <c r="B137" s="94" t="s">
        <v>500</v>
      </c>
      <c r="C137" s="95" t="s">
        <v>198</v>
      </c>
      <c r="D137" s="96">
        <v>0.108</v>
      </c>
    </row>
    <row r="138" spans="1:4" ht="27" x14ac:dyDescent="0.3">
      <c r="A138" s="93" t="s">
        <v>501</v>
      </c>
      <c r="B138" s="94" t="s">
        <v>502</v>
      </c>
      <c r="C138" s="95" t="s">
        <v>198</v>
      </c>
      <c r="D138" s="96">
        <v>69.096000000000004</v>
      </c>
    </row>
    <row r="139" spans="1:4" ht="27" x14ac:dyDescent="0.3">
      <c r="A139" s="93" t="s">
        <v>503</v>
      </c>
      <c r="B139" s="94" t="s">
        <v>504</v>
      </c>
      <c r="C139" s="95" t="s">
        <v>284</v>
      </c>
      <c r="D139" s="96">
        <v>14.18</v>
      </c>
    </row>
    <row r="140" spans="1:4" x14ac:dyDescent="0.3">
      <c r="A140" s="93" t="s">
        <v>505</v>
      </c>
      <c r="B140" s="94" t="s">
        <v>506</v>
      </c>
      <c r="C140" s="95" t="s">
        <v>396</v>
      </c>
      <c r="D140" s="96">
        <v>4.8689999999999998</v>
      </c>
    </row>
    <row r="141" spans="1:4" ht="27" x14ac:dyDescent="0.3">
      <c r="A141" s="93" t="s">
        <v>507</v>
      </c>
      <c r="B141" s="94" t="s">
        <v>508</v>
      </c>
      <c r="C141" s="95" t="s">
        <v>464</v>
      </c>
      <c r="D141" s="96">
        <v>3687.74</v>
      </c>
    </row>
    <row r="142" spans="1:4" x14ac:dyDescent="0.3">
      <c r="A142" s="93" t="s">
        <v>509</v>
      </c>
      <c r="B142" s="94" t="s">
        <v>510</v>
      </c>
      <c r="C142" s="95" t="s">
        <v>209</v>
      </c>
      <c r="D142" s="96">
        <v>1.0429999999999999</v>
      </c>
    </row>
    <row r="143" spans="1:4" x14ac:dyDescent="0.3">
      <c r="A143" s="93" t="s">
        <v>511</v>
      </c>
      <c r="B143" s="94" t="s">
        <v>512</v>
      </c>
      <c r="C143" s="95" t="s">
        <v>513</v>
      </c>
      <c r="D143" s="96">
        <v>2.7080000000000002</v>
      </c>
    </row>
    <row r="144" spans="1:4" x14ac:dyDescent="0.3">
      <c r="A144" s="93" t="s">
        <v>514</v>
      </c>
      <c r="B144" s="94" t="s">
        <v>515</v>
      </c>
      <c r="C144" s="95" t="s">
        <v>295</v>
      </c>
      <c r="D144" s="96">
        <v>220.96700000000001</v>
      </c>
    </row>
    <row r="145" spans="1:4" ht="27" x14ac:dyDescent="0.3">
      <c r="A145" s="93" t="s">
        <v>516</v>
      </c>
      <c r="B145" s="94" t="s">
        <v>517</v>
      </c>
      <c r="C145" s="95" t="s">
        <v>209</v>
      </c>
      <c r="D145" s="96">
        <v>0.54100000000000004</v>
      </c>
    </row>
    <row r="146" spans="1:4" x14ac:dyDescent="0.3">
      <c r="A146" s="93" t="s">
        <v>518</v>
      </c>
      <c r="B146" s="94" t="s">
        <v>519</v>
      </c>
      <c r="C146" s="95" t="s">
        <v>284</v>
      </c>
      <c r="D146" s="96">
        <v>73.2</v>
      </c>
    </row>
    <row r="147" spans="1:4" ht="27" x14ac:dyDescent="0.3">
      <c r="A147" s="93" t="s">
        <v>520</v>
      </c>
      <c r="B147" s="94" t="s">
        <v>521</v>
      </c>
      <c r="C147" s="95" t="s">
        <v>522</v>
      </c>
      <c r="D147" s="96">
        <v>541.60599999999999</v>
      </c>
    </row>
    <row r="148" spans="1:4" x14ac:dyDescent="0.3">
      <c r="A148" s="93" t="s">
        <v>523</v>
      </c>
      <c r="B148" s="94" t="s">
        <v>524</v>
      </c>
      <c r="C148" s="95" t="s">
        <v>199</v>
      </c>
      <c r="D148" s="96">
        <v>18.29</v>
      </c>
    </row>
    <row r="149" spans="1:4" x14ac:dyDescent="0.3">
      <c r="A149" s="93" t="s">
        <v>525</v>
      </c>
      <c r="B149" s="94" t="s">
        <v>526</v>
      </c>
      <c r="C149" s="95" t="s">
        <v>209</v>
      </c>
      <c r="D149" s="96">
        <v>6.8540000000000001</v>
      </c>
    </row>
    <row r="150" spans="1:4" x14ac:dyDescent="0.3">
      <c r="A150" s="93" t="s">
        <v>527</v>
      </c>
      <c r="B150" s="94" t="s">
        <v>528</v>
      </c>
      <c r="C150" s="95" t="s">
        <v>199</v>
      </c>
      <c r="D150" s="96">
        <v>1.6739999999999999</v>
      </c>
    </row>
    <row r="151" spans="1:4" x14ac:dyDescent="0.3">
      <c r="A151" s="93" t="s">
        <v>529</v>
      </c>
      <c r="B151" s="94" t="s">
        <v>530</v>
      </c>
      <c r="C151" s="95" t="s">
        <v>295</v>
      </c>
      <c r="D151" s="96">
        <v>7.319</v>
      </c>
    </row>
    <row r="152" spans="1:4" x14ac:dyDescent="0.3">
      <c r="A152" s="93" t="s">
        <v>531</v>
      </c>
      <c r="B152" s="94" t="s">
        <v>532</v>
      </c>
      <c r="C152" s="95" t="s">
        <v>491</v>
      </c>
      <c r="D152" s="96">
        <v>0.81599999999999995</v>
      </c>
    </row>
    <row r="153" spans="1:4" x14ac:dyDescent="0.3">
      <c r="A153" s="93" t="s">
        <v>1811</v>
      </c>
      <c r="B153" s="94" t="s">
        <v>1812</v>
      </c>
      <c r="C153" s="95" t="s">
        <v>199</v>
      </c>
      <c r="D153" s="96">
        <v>0.88490920000000006</v>
      </c>
    </row>
    <row r="154" spans="1:4" x14ac:dyDescent="0.3">
      <c r="A154" s="93" t="s">
        <v>533</v>
      </c>
      <c r="B154" s="94" t="s">
        <v>534</v>
      </c>
      <c r="C154" s="95" t="s">
        <v>452</v>
      </c>
      <c r="D154" s="96">
        <v>0.46600000000000003</v>
      </c>
    </row>
    <row r="155" spans="1:4" x14ac:dyDescent="0.3">
      <c r="A155" s="93" t="s">
        <v>535</v>
      </c>
      <c r="B155" s="94" t="s">
        <v>536</v>
      </c>
      <c r="C155" s="95" t="s">
        <v>198</v>
      </c>
      <c r="D155" s="96">
        <v>478.642</v>
      </c>
    </row>
    <row r="156" spans="1:4" x14ac:dyDescent="0.3">
      <c r="A156" s="93" t="s">
        <v>537</v>
      </c>
      <c r="B156" s="94" t="s">
        <v>538</v>
      </c>
      <c r="C156" s="95" t="s">
        <v>199</v>
      </c>
      <c r="D156" s="96">
        <v>230.47900000000001</v>
      </c>
    </row>
    <row r="157" spans="1:4" x14ac:dyDescent="0.3">
      <c r="A157" s="93" t="s">
        <v>543</v>
      </c>
      <c r="B157" s="94" t="s">
        <v>544</v>
      </c>
      <c r="C157" s="95" t="s">
        <v>396</v>
      </c>
      <c r="D157" s="96">
        <v>16.155000000000001</v>
      </c>
    </row>
    <row r="158" spans="1:4" x14ac:dyDescent="0.3">
      <c r="A158" s="93" t="s">
        <v>545</v>
      </c>
      <c r="B158" s="94" t="s">
        <v>546</v>
      </c>
      <c r="C158" s="95" t="s">
        <v>284</v>
      </c>
      <c r="D158" s="96">
        <v>53.61</v>
      </c>
    </row>
    <row r="159" spans="1:4" ht="27" x14ac:dyDescent="0.3">
      <c r="A159" s="93" t="s">
        <v>547</v>
      </c>
      <c r="B159" s="94" t="s">
        <v>548</v>
      </c>
      <c r="C159" s="95" t="s">
        <v>284</v>
      </c>
      <c r="D159" s="96">
        <v>78.867179999999991</v>
      </c>
    </row>
    <row r="160" spans="1:4" x14ac:dyDescent="0.3">
      <c r="A160" s="93" t="s">
        <v>549</v>
      </c>
      <c r="B160" s="94" t="s">
        <v>550</v>
      </c>
      <c r="C160" s="95" t="s">
        <v>199</v>
      </c>
      <c r="D160" s="96">
        <v>12.465999999999999</v>
      </c>
    </row>
    <row r="161" spans="1:4" ht="27" x14ac:dyDescent="0.3">
      <c r="A161" s="93" t="s">
        <v>551</v>
      </c>
      <c r="B161" s="94" t="s">
        <v>552</v>
      </c>
      <c r="C161" s="95" t="s">
        <v>553</v>
      </c>
      <c r="D161" s="96">
        <v>308.90699999999998</v>
      </c>
    </row>
    <row r="162" spans="1:4" ht="27" x14ac:dyDescent="0.3">
      <c r="A162" s="93" t="s">
        <v>554</v>
      </c>
      <c r="B162" s="94" t="s">
        <v>555</v>
      </c>
      <c r="C162" s="95" t="s">
        <v>257</v>
      </c>
      <c r="D162" s="96">
        <v>444.09899999999999</v>
      </c>
    </row>
    <row r="163" spans="1:4" ht="27" x14ac:dyDescent="0.3">
      <c r="A163" s="93" t="s">
        <v>556</v>
      </c>
      <c r="B163" s="94" t="s">
        <v>557</v>
      </c>
      <c r="C163" s="95" t="s">
        <v>198</v>
      </c>
      <c r="D163" s="96">
        <v>1.0840000000000001</v>
      </c>
    </row>
    <row r="164" spans="1:4" x14ac:dyDescent="0.3">
      <c r="A164" s="93" t="s">
        <v>558</v>
      </c>
      <c r="B164" s="94" t="s">
        <v>559</v>
      </c>
      <c r="C164" s="95" t="s">
        <v>452</v>
      </c>
      <c r="D164" s="96">
        <v>1.004</v>
      </c>
    </row>
    <row r="165" spans="1:4" x14ac:dyDescent="0.3">
      <c r="A165" s="93" t="s">
        <v>560</v>
      </c>
      <c r="B165" s="94" t="s">
        <v>561</v>
      </c>
      <c r="C165" s="95" t="s">
        <v>452</v>
      </c>
      <c r="D165" s="96">
        <v>0.58199999999999996</v>
      </c>
    </row>
    <row r="166" spans="1:4" x14ac:dyDescent="0.3">
      <c r="A166" s="93" t="s">
        <v>562</v>
      </c>
      <c r="B166" s="94" t="s">
        <v>563</v>
      </c>
      <c r="C166" s="95" t="s">
        <v>442</v>
      </c>
      <c r="D166" s="96">
        <v>5.5709999999999997</v>
      </c>
    </row>
    <row r="167" spans="1:4" x14ac:dyDescent="0.3">
      <c r="A167" s="93" t="s">
        <v>564</v>
      </c>
      <c r="B167" s="94" t="s">
        <v>565</v>
      </c>
      <c r="C167" s="95" t="s">
        <v>198</v>
      </c>
      <c r="D167" s="96">
        <v>2.1040000000000001</v>
      </c>
    </row>
    <row r="168" spans="1:4" x14ac:dyDescent="0.3">
      <c r="A168" s="97" t="s">
        <v>566</v>
      </c>
      <c r="B168" s="94" t="s">
        <v>567</v>
      </c>
      <c r="C168" s="99" t="s">
        <v>458</v>
      </c>
      <c r="D168" s="96">
        <v>529.52300000000002</v>
      </c>
    </row>
    <row r="169" spans="1:4" x14ac:dyDescent="0.3">
      <c r="A169" s="93" t="s">
        <v>568</v>
      </c>
      <c r="B169" s="94" t="s">
        <v>569</v>
      </c>
      <c r="C169" s="95" t="s">
        <v>198</v>
      </c>
      <c r="D169" s="96">
        <v>390.464</v>
      </c>
    </row>
    <row r="170" spans="1:4" x14ac:dyDescent="0.3">
      <c r="A170" s="93" t="s">
        <v>570</v>
      </c>
      <c r="B170" s="94" t="s">
        <v>571</v>
      </c>
      <c r="C170" s="95" t="s">
        <v>284</v>
      </c>
      <c r="D170" s="96">
        <v>40.317999999999998</v>
      </c>
    </row>
    <row r="171" spans="1:4" x14ac:dyDescent="0.3">
      <c r="A171" s="93" t="s">
        <v>572</v>
      </c>
      <c r="B171" s="94" t="s">
        <v>573</v>
      </c>
      <c r="C171" s="95" t="s">
        <v>574</v>
      </c>
      <c r="D171" s="96">
        <v>39.972000000000001</v>
      </c>
    </row>
    <row r="172" spans="1:4" x14ac:dyDescent="0.3">
      <c r="A172" s="93" t="s">
        <v>575</v>
      </c>
      <c r="B172" s="94" t="s">
        <v>576</v>
      </c>
      <c r="C172" s="95" t="s">
        <v>257</v>
      </c>
      <c r="D172" s="96">
        <v>13.605</v>
      </c>
    </row>
    <row r="173" spans="1:4" ht="27" x14ac:dyDescent="0.3">
      <c r="A173" s="97" t="s">
        <v>577</v>
      </c>
      <c r="B173" s="94" t="s">
        <v>578</v>
      </c>
      <c r="C173" s="99" t="s">
        <v>284</v>
      </c>
      <c r="D173" s="96">
        <v>70.51597000000001</v>
      </c>
    </row>
    <row r="174" spans="1:4" x14ac:dyDescent="0.3">
      <c r="A174" s="93" t="s">
        <v>579</v>
      </c>
      <c r="B174" s="94" t="s">
        <v>580</v>
      </c>
      <c r="C174" s="95" t="s">
        <v>284</v>
      </c>
      <c r="D174" s="96">
        <v>45.89</v>
      </c>
    </row>
    <row r="175" spans="1:4" x14ac:dyDescent="0.3">
      <c r="A175" s="93" t="s">
        <v>581</v>
      </c>
      <c r="B175" s="94" t="s">
        <v>582</v>
      </c>
      <c r="C175" s="95" t="s">
        <v>257</v>
      </c>
      <c r="D175" s="96">
        <v>10.112</v>
      </c>
    </row>
    <row r="176" spans="1:4" x14ac:dyDescent="0.3">
      <c r="A176" s="93" t="s">
        <v>583</v>
      </c>
      <c r="B176" s="94" t="s">
        <v>584</v>
      </c>
      <c r="C176" s="95" t="s">
        <v>585</v>
      </c>
      <c r="D176" s="96">
        <v>399.71699999999998</v>
      </c>
    </row>
    <row r="177" spans="1:4" x14ac:dyDescent="0.3">
      <c r="A177" s="93" t="s">
        <v>586</v>
      </c>
      <c r="B177" s="94" t="s">
        <v>587</v>
      </c>
      <c r="C177" s="95" t="s">
        <v>284</v>
      </c>
      <c r="D177" s="96">
        <v>40.113999999999997</v>
      </c>
    </row>
    <row r="178" spans="1:4" x14ac:dyDescent="0.3">
      <c r="A178" s="93" t="s">
        <v>588</v>
      </c>
      <c r="B178" s="94" t="s">
        <v>589</v>
      </c>
      <c r="C178" s="95" t="s">
        <v>284</v>
      </c>
      <c r="D178" s="96">
        <v>43.11</v>
      </c>
    </row>
    <row r="179" spans="1:4" x14ac:dyDescent="0.3">
      <c r="A179" s="93" t="s">
        <v>590</v>
      </c>
      <c r="B179" s="94" t="s">
        <v>591</v>
      </c>
      <c r="C179" s="95" t="s">
        <v>284</v>
      </c>
      <c r="D179" s="96">
        <v>35.470999999999997</v>
      </c>
    </row>
    <row r="180" spans="1:4" x14ac:dyDescent="0.3">
      <c r="A180" s="93" t="s">
        <v>592</v>
      </c>
      <c r="B180" s="94" t="s">
        <v>593</v>
      </c>
      <c r="C180" s="95" t="s">
        <v>284</v>
      </c>
      <c r="D180" s="96">
        <v>42.226999999999997</v>
      </c>
    </row>
    <row r="181" spans="1:4" ht="27" x14ac:dyDescent="0.3">
      <c r="A181" s="93" t="s">
        <v>594</v>
      </c>
      <c r="B181" s="94" t="s">
        <v>595</v>
      </c>
      <c r="C181" s="95" t="s">
        <v>284</v>
      </c>
      <c r="D181" s="96">
        <v>56.252000000000002</v>
      </c>
    </row>
    <row r="182" spans="1:4" x14ac:dyDescent="0.3">
      <c r="A182" s="93" t="s">
        <v>596</v>
      </c>
      <c r="B182" s="94" t="s">
        <v>597</v>
      </c>
      <c r="C182" s="95" t="s">
        <v>216</v>
      </c>
      <c r="D182" s="96">
        <v>64.335999999999999</v>
      </c>
    </row>
    <row r="183" spans="1:4" x14ac:dyDescent="0.3">
      <c r="A183" s="93" t="s">
        <v>598</v>
      </c>
      <c r="B183" s="94" t="s">
        <v>599</v>
      </c>
      <c r="C183" s="95" t="s">
        <v>284</v>
      </c>
      <c r="D183" s="96">
        <v>34.396999999999998</v>
      </c>
    </row>
    <row r="184" spans="1:4" ht="27" x14ac:dyDescent="0.3">
      <c r="A184" s="97" t="s">
        <v>600</v>
      </c>
      <c r="B184" s="94" t="s">
        <v>601</v>
      </c>
      <c r="C184" s="99" t="s">
        <v>257</v>
      </c>
      <c r="D184" s="96">
        <v>14.178000000000001</v>
      </c>
    </row>
    <row r="185" spans="1:4" x14ac:dyDescent="0.3">
      <c r="A185" s="93" t="s">
        <v>602</v>
      </c>
      <c r="B185" s="94" t="s">
        <v>603</v>
      </c>
      <c r="C185" s="95" t="s">
        <v>494</v>
      </c>
      <c r="D185" s="96">
        <v>1.6930000000000001</v>
      </c>
    </row>
    <row r="186" spans="1:4" x14ac:dyDescent="0.3">
      <c r="A186" s="93" t="s">
        <v>604</v>
      </c>
      <c r="B186" s="94" t="s">
        <v>605</v>
      </c>
      <c r="C186" s="95" t="s">
        <v>198</v>
      </c>
      <c r="D186" s="96">
        <v>23.332000000000001</v>
      </c>
    </row>
    <row r="187" spans="1:4" ht="27" x14ac:dyDescent="0.3">
      <c r="A187" s="93" t="s">
        <v>606</v>
      </c>
      <c r="B187" s="94" t="s">
        <v>607</v>
      </c>
      <c r="C187" s="95" t="s">
        <v>198</v>
      </c>
      <c r="D187" s="96">
        <v>219.916</v>
      </c>
    </row>
    <row r="188" spans="1:4" x14ac:dyDescent="0.3">
      <c r="A188" s="93" t="s">
        <v>608</v>
      </c>
      <c r="B188" s="94" t="s">
        <v>609</v>
      </c>
      <c r="C188" s="95" t="s">
        <v>610</v>
      </c>
      <c r="D188" s="96">
        <v>0.44</v>
      </c>
    </row>
    <row r="189" spans="1:4" x14ac:dyDescent="0.3">
      <c r="A189" s="93" t="s">
        <v>611</v>
      </c>
      <c r="B189" s="94" t="s">
        <v>612</v>
      </c>
      <c r="C189" s="95" t="s">
        <v>273</v>
      </c>
      <c r="D189" s="96">
        <v>3.19</v>
      </c>
    </row>
    <row r="190" spans="1:4" x14ac:dyDescent="0.3">
      <c r="A190" s="93" t="s">
        <v>613</v>
      </c>
      <c r="B190" s="94" t="s">
        <v>614</v>
      </c>
      <c r="C190" s="95" t="s">
        <v>200</v>
      </c>
      <c r="D190" s="96">
        <v>1.0900000000000001</v>
      </c>
    </row>
    <row r="191" spans="1:4" x14ac:dyDescent="0.3">
      <c r="A191" s="93" t="s">
        <v>615</v>
      </c>
      <c r="B191" s="94" t="s">
        <v>616</v>
      </c>
      <c r="C191" s="95" t="s">
        <v>209</v>
      </c>
      <c r="D191" s="96">
        <v>17.347999999999999</v>
      </c>
    </row>
    <row r="192" spans="1:4" x14ac:dyDescent="0.3">
      <c r="A192" s="93" t="s">
        <v>617</v>
      </c>
      <c r="B192" s="94" t="s">
        <v>618</v>
      </c>
      <c r="C192" s="95" t="s">
        <v>198</v>
      </c>
      <c r="D192" s="96">
        <v>22.978000000000002</v>
      </c>
    </row>
    <row r="193" spans="1:4" ht="27" x14ac:dyDescent="0.3">
      <c r="A193" s="93" t="s">
        <v>619</v>
      </c>
      <c r="B193" s="94" t="s">
        <v>620</v>
      </c>
      <c r="C193" s="95" t="s">
        <v>371</v>
      </c>
      <c r="D193" s="96">
        <v>0.17599999999999999</v>
      </c>
    </row>
    <row r="194" spans="1:4" ht="27" x14ac:dyDescent="0.3">
      <c r="A194" s="93" t="s">
        <v>621</v>
      </c>
      <c r="B194" s="94" t="s">
        <v>622</v>
      </c>
      <c r="C194" s="95" t="s">
        <v>432</v>
      </c>
      <c r="D194" s="96">
        <v>0.20100000000000001</v>
      </c>
    </row>
    <row r="195" spans="1:4" x14ac:dyDescent="0.3">
      <c r="A195" s="93" t="s">
        <v>623</v>
      </c>
      <c r="B195" s="94" t="s">
        <v>624</v>
      </c>
      <c r="C195" s="95" t="s">
        <v>625</v>
      </c>
      <c r="D195" s="96">
        <v>13.941000000000001</v>
      </c>
    </row>
    <row r="196" spans="1:4" x14ac:dyDescent="0.3">
      <c r="A196" s="93" t="s">
        <v>626</v>
      </c>
      <c r="B196" s="94" t="s">
        <v>627</v>
      </c>
      <c r="C196" s="95" t="s">
        <v>199</v>
      </c>
      <c r="D196" s="96">
        <v>0.76700000000000002</v>
      </c>
    </row>
    <row r="197" spans="1:4" x14ac:dyDescent="0.3">
      <c r="A197" s="93" t="s">
        <v>628</v>
      </c>
      <c r="B197" s="94" t="s">
        <v>629</v>
      </c>
      <c r="C197" s="95" t="s">
        <v>396</v>
      </c>
      <c r="D197" s="96">
        <v>2.0649999999999999</v>
      </c>
    </row>
    <row r="198" spans="1:4" ht="27" x14ac:dyDescent="0.3">
      <c r="A198" s="93" t="s">
        <v>630</v>
      </c>
      <c r="B198" s="94" t="s">
        <v>631</v>
      </c>
      <c r="C198" s="95" t="s">
        <v>632</v>
      </c>
      <c r="D198" s="96">
        <v>418.60899999999998</v>
      </c>
    </row>
    <row r="199" spans="1:4" ht="27" x14ac:dyDescent="0.3">
      <c r="A199" s="93" t="s">
        <v>633</v>
      </c>
      <c r="B199" s="94" t="s">
        <v>634</v>
      </c>
      <c r="C199" s="95" t="s">
        <v>257</v>
      </c>
      <c r="D199" s="96">
        <v>12.993</v>
      </c>
    </row>
    <row r="200" spans="1:4" ht="27" x14ac:dyDescent="0.3">
      <c r="A200" s="93" t="s">
        <v>635</v>
      </c>
      <c r="B200" s="94" t="s">
        <v>636</v>
      </c>
      <c r="C200" s="95" t="s">
        <v>198</v>
      </c>
      <c r="D200" s="96">
        <v>55.441000000000003</v>
      </c>
    </row>
    <row r="201" spans="1:4" x14ac:dyDescent="0.3">
      <c r="A201" s="93" t="s">
        <v>637</v>
      </c>
      <c r="B201" s="94" t="s">
        <v>638</v>
      </c>
      <c r="C201" s="95" t="s">
        <v>198</v>
      </c>
      <c r="D201" s="96">
        <v>235.477</v>
      </c>
    </row>
    <row r="202" spans="1:4" x14ac:dyDescent="0.3">
      <c r="A202" s="93" t="s">
        <v>639</v>
      </c>
      <c r="B202" s="94" t="s">
        <v>640</v>
      </c>
      <c r="C202" s="95" t="s">
        <v>198</v>
      </c>
      <c r="D202" s="96">
        <v>542.91700000000003</v>
      </c>
    </row>
    <row r="203" spans="1:4" ht="27" x14ac:dyDescent="0.3">
      <c r="A203" s="93" t="s">
        <v>641</v>
      </c>
      <c r="B203" s="94" t="s">
        <v>642</v>
      </c>
      <c r="C203" s="95" t="s">
        <v>199</v>
      </c>
      <c r="D203" s="96">
        <v>76.649000000000001</v>
      </c>
    </row>
    <row r="204" spans="1:4" x14ac:dyDescent="0.3">
      <c r="A204" s="93" t="s">
        <v>643</v>
      </c>
      <c r="B204" s="94" t="s">
        <v>644</v>
      </c>
      <c r="C204" s="95" t="s">
        <v>209</v>
      </c>
      <c r="D204" s="96">
        <v>13.622999999999999</v>
      </c>
    </row>
    <row r="205" spans="1:4" x14ac:dyDescent="0.3">
      <c r="A205" s="93" t="s">
        <v>645</v>
      </c>
      <c r="B205" s="94" t="s">
        <v>646</v>
      </c>
      <c r="C205" s="95" t="s">
        <v>198</v>
      </c>
      <c r="D205" s="96">
        <v>0.23499999999999999</v>
      </c>
    </row>
    <row r="206" spans="1:4" x14ac:dyDescent="0.3">
      <c r="A206" s="93" t="s">
        <v>647</v>
      </c>
      <c r="B206" s="94" t="s">
        <v>648</v>
      </c>
      <c r="C206" s="95" t="s">
        <v>371</v>
      </c>
      <c r="D206" s="96">
        <v>42.121000000000002</v>
      </c>
    </row>
    <row r="207" spans="1:4" x14ac:dyDescent="0.3">
      <c r="A207" s="93" t="s">
        <v>649</v>
      </c>
      <c r="B207" s="94" t="s">
        <v>650</v>
      </c>
      <c r="C207" s="95" t="s">
        <v>198</v>
      </c>
      <c r="D207" s="96">
        <v>3.661</v>
      </c>
    </row>
    <row r="208" spans="1:4" x14ac:dyDescent="0.3">
      <c r="A208" s="93" t="s">
        <v>651</v>
      </c>
      <c r="B208" s="94" t="s">
        <v>652</v>
      </c>
      <c r="C208" s="95" t="s">
        <v>653</v>
      </c>
      <c r="D208" s="96">
        <v>0.89</v>
      </c>
    </row>
    <row r="209" spans="1:4" ht="27" x14ac:dyDescent="0.3">
      <c r="A209" s="93" t="s">
        <v>654</v>
      </c>
      <c r="B209" s="94" t="s">
        <v>655</v>
      </c>
      <c r="C209" s="95" t="s">
        <v>656</v>
      </c>
      <c r="D209" s="96">
        <v>10.946999999999999</v>
      </c>
    </row>
    <row r="210" spans="1:4" x14ac:dyDescent="0.3">
      <c r="A210" s="93" t="s">
        <v>657</v>
      </c>
      <c r="B210" s="94" t="s">
        <v>658</v>
      </c>
      <c r="C210" s="95" t="s">
        <v>659</v>
      </c>
      <c r="D210" s="96">
        <v>0.51400000000000001</v>
      </c>
    </row>
    <row r="211" spans="1:4" x14ac:dyDescent="0.3">
      <c r="A211" s="93" t="s">
        <v>660</v>
      </c>
      <c r="B211" s="94" t="s">
        <v>661</v>
      </c>
      <c r="C211" s="95" t="s">
        <v>198</v>
      </c>
      <c r="D211" s="96">
        <v>58.771000000000001</v>
      </c>
    </row>
    <row r="212" spans="1:4" x14ac:dyDescent="0.3">
      <c r="A212" s="93" t="s">
        <v>662</v>
      </c>
      <c r="B212" s="94" t="s">
        <v>663</v>
      </c>
      <c r="C212" s="95" t="s">
        <v>273</v>
      </c>
      <c r="D212" s="96">
        <v>31.216999999999999</v>
      </c>
    </row>
    <row r="213" spans="1:4" x14ac:dyDescent="0.3">
      <c r="A213" s="93" t="s">
        <v>664</v>
      </c>
      <c r="B213" s="94" t="s">
        <v>665</v>
      </c>
      <c r="C213" s="95" t="s">
        <v>311</v>
      </c>
      <c r="D213" s="96">
        <v>0.83099999999999996</v>
      </c>
    </row>
    <row r="214" spans="1:4" x14ac:dyDescent="0.3">
      <c r="A214" s="97" t="s">
        <v>666</v>
      </c>
      <c r="B214" s="94" t="s">
        <v>667</v>
      </c>
      <c r="C214" s="35" t="s">
        <v>198</v>
      </c>
      <c r="D214" s="96">
        <v>2.5670000000000002</v>
      </c>
    </row>
    <row r="215" spans="1:4" ht="27" x14ac:dyDescent="0.3">
      <c r="A215" s="93" t="s">
        <v>668</v>
      </c>
      <c r="B215" s="94" t="s">
        <v>669</v>
      </c>
      <c r="C215" s="95" t="s">
        <v>670</v>
      </c>
      <c r="D215" s="96">
        <v>1188.9870000000001</v>
      </c>
    </row>
    <row r="216" spans="1:4" x14ac:dyDescent="0.3">
      <c r="A216" s="93" t="s">
        <v>671</v>
      </c>
      <c r="B216" s="94" t="s">
        <v>672</v>
      </c>
      <c r="C216" s="95" t="s">
        <v>199</v>
      </c>
      <c r="D216" s="96">
        <v>0.13900000000000001</v>
      </c>
    </row>
    <row r="217" spans="1:4" x14ac:dyDescent="0.3">
      <c r="A217" s="93" t="s">
        <v>673</v>
      </c>
      <c r="B217" s="94" t="s">
        <v>674</v>
      </c>
      <c r="C217" s="95" t="s">
        <v>405</v>
      </c>
      <c r="D217" s="96">
        <v>20.556999999999999</v>
      </c>
    </row>
    <row r="218" spans="1:4" x14ac:dyDescent="0.3">
      <c r="A218" s="93" t="s">
        <v>675</v>
      </c>
      <c r="B218" s="94" t="s">
        <v>676</v>
      </c>
      <c r="C218" s="95" t="s">
        <v>295</v>
      </c>
      <c r="D218" s="96">
        <v>1.474</v>
      </c>
    </row>
    <row r="219" spans="1:4" x14ac:dyDescent="0.3">
      <c r="A219" s="93" t="s">
        <v>677</v>
      </c>
      <c r="B219" s="94" t="s">
        <v>678</v>
      </c>
      <c r="C219" s="95" t="s">
        <v>458</v>
      </c>
      <c r="D219" s="96">
        <v>30.289000000000001</v>
      </c>
    </row>
    <row r="220" spans="1:4" x14ac:dyDescent="0.3">
      <c r="A220" s="93" t="s">
        <v>679</v>
      </c>
      <c r="B220" s="94" t="s">
        <v>680</v>
      </c>
      <c r="C220" s="95" t="s">
        <v>199</v>
      </c>
      <c r="D220" s="96">
        <v>5.0999999999999997E-2</v>
      </c>
    </row>
    <row r="221" spans="1:4" x14ac:dyDescent="0.3">
      <c r="A221" s="93" t="s">
        <v>681</v>
      </c>
      <c r="B221" s="94" t="s">
        <v>682</v>
      </c>
      <c r="C221" s="95" t="s">
        <v>683</v>
      </c>
      <c r="D221" s="96">
        <v>13.46</v>
      </c>
    </row>
    <row r="222" spans="1:4" x14ac:dyDescent="0.3">
      <c r="A222" s="93" t="s">
        <v>684</v>
      </c>
      <c r="B222" s="94" t="s">
        <v>685</v>
      </c>
      <c r="C222" s="95" t="s">
        <v>442</v>
      </c>
      <c r="D222" s="96">
        <v>8.5109999999999992</v>
      </c>
    </row>
    <row r="223" spans="1:4" x14ac:dyDescent="0.3">
      <c r="A223" s="93" t="s">
        <v>686</v>
      </c>
      <c r="B223" s="94" t="s">
        <v>687</v>
      </c>
      <c r="C223" s="95" t="s">
        <v>688</v>
      </c>
      <c r="D223" s="96">
        <v>0.73199999999999998</v>
      </c>
    </row>
    <row r="224" spans="1:4" x14ac:dyDescent="0.3">
      <c r="A224" s="93" t="s">
        <v>689</v>
      </c>
      <c r="B224" s="94" t="s">
        <v>690</v>
      </c>
      <c r="C224" s="95" t="s">
        <v>522</v>
      </c>
      <c r="D224" s="96">
        <v>3.8029999999999999</v>
      </c>
    </row>
    <row r="225" spans="1:4" ht="27" x14ac:dyDescent="0.3">
      <c r="A225" s="93" t="s">
        <v>691</v>
      </c>
      <c r="B225" s="94" t="s">
        <v>692</v>
      </c>
      <c r="C225" s="95" t="s">
        <v>257</v>
      </c>
      <c r="D225" s="96">
        <v>4.0529999999999999</v>
      </c>
    </row>
    <row r="226" spans="1:4" ht="27" x14ac:dyDescent="0.3">
      <c r="A226" s="93" t="s">
        <v>693</v>
      </c>
      <c r="B226" s="94" t="s">
        <v>694</v>
      </c>
      <c r="C226" s="99" t="s">
        <v>198</v>
      </c>
      <c r="D226" s="96">
        <v>29.501999999999999</v>
      </c>
    </row>
    <row r="227" spans="1:4" x14ac:dyDescent="0.3">
      <c r="A227" s="93" t="s">
        <v>695</v>
      </c>
      <c r="B227" s="94" t="s">
        <v>696</v>
      </c>
      <c r="C227" s="95" t="s">
        <v>257</v>
      </c>
      <c r="D227" s="96">
        <v>1.026</v>
      </c>
    </row>
    <row r="228" spans="1:4" ht="27" x14ac:dyDescent="0.3">
      <c r="A228" s="93" t="s">
        <v>697</v>
      </c>
      <c r="B228" s="94" t="s">
        <v>698</v>
      </c>
      <c r="C228" s="95" t="s">
        <v>699</v>
      </c>
      <c r="D228" s="96">
        <v>15.773999999999999</v>
      </c>
    </row>
    <row r="229" spans="1:4" ht="27" x14ac:dyDescent="0.3">
      <c r="A229" s="93" t="s">
        <v>700</v>
      </c>
      <c r="B229" s="94" t="s">
        <v>701</v>
      </c>
      <c r="C229" s="95" t="s">
        <v>198</v>
      </c>
      <c r="D229" s="96">
        <v>1.0349999999999999</v>
      </c>
    </row>
    <row r="230" spans="1:4" ht="27" x14ac:dyDescent="0.3">
      <c r="A230" s="93" t="s">
        <v>702</v>
      </c>
      <c r="B230" s="94" t="s">
        <v>703</v>
      </c>
      <c r="C230" s="95" t="s">
        <v>198</v>
      </c>
      <c r="D230" s="96">
        <v>0.125</v>
      </c>
    </row>
    <row r="231" spans="1:4" x14ac:dyDescent="0.3">
      <c r="A231" s="97" t="s">
        <v>704</v>
      </c>
      <c r="B231" s="94" t="s">
        <v>705</v>
      </c>
      <c r="C231" s="35" t="s">
        <v>200</v>
      </c>
      <c r="D231" s="96">
        <v>1.403</v>
      </c>
    </row>
    <row r="232" spans="1:4" x14ac:dyDescent="0.3">
      <c r="A232" s="93" t="s">
        <v>706</v>
      </c>
      <c r="B232" s="94" t="s">
        <v>707</v>
      </c>
      <c r="C232" s="95" t="s">
        <v>199</v>
      </c>
      <c r="D232" s="96">
        <v>2.774</v>
      </c>
    </row>
    <row r="233" spans="1:4" x14ac:dyDescent="0.3">
      <c r="A233" s="97" t="s">
        <v>708</v>
      </c>
      <c r="B233" s="94" t="s">
        <v>709</v>
      </c>
      <c r="C233" s="99" t="s">
        <v>199</v>
      </c>
      <c r="D233" s="96">
        <v>16.416</v>
      </c>
    </row>
    <row r="234" spans="1:4" x14ac:dyDescent="0.3">
      <c r="A234" s="93" t="s">
        <v>710</v>
      </c>
      <c r="B234" s="94" t="s">
        <v>711</v>
      </c>
      <c r="C234" s="95" t="s">
        <v>452</v>
      </c>
      <c r="D234" s="96">
        <v>7.7290000000000001</v>
      </c>
    </row>
    <row r="235" spans="1:4" x14ac:dyDescent="0.3">
      <c r="A235" s="93" t="s">
        <v>712</v>
      </c>
      <c r="B235" s="94" t="s">
        <v>713</v>
      </c>
      <c r="C235" s="95" t="s">
        <v>257</v>
      </c>
      <c r="D235" s="96">
        <v>8.11</v>
      </c>
    </row>
    <row r="236" spans="1:4" ht="27" x14ac:dyDescent="0.3">
      <c r="A236" s="93" t="s">
        <v>714</v>
      </c>
      <c r="B236" s="94" t="s">
        <v>715</v>
      </c>
      <c r="C236" s="95" t="s">
        <v>199</v>
      </c>
      <c r="D236" s="96">
        <v>2.9329999999999998</v>
      </c>
    </row>
    <row r="237" spans="1:4" x14ac:dyDescent="0.3">
      <c r="A237" s="93" t="s">
        <v>716</v>
      </c>
      <c r="B237" s="94" t="s">
        <v>717</v>
      </c>
      <c r="C237" s="95" t="s">
        <v>198</v>
      </c>
      <c r="D237" s="96">
        <v>17.722000000000001</v>
      </c>
    </row>
    <row r="238" spans="1:4" x14ac:dyDescent="0.3">
      <c r="A238" s="93" t="s">
        <v>718</v>
      </c>
      <c r="B238" s="94" t="s">
        <v>719</v>
      </c>
      <c r="C238" s="95" t="s">
        <v>198</v>
      </c>
      <c r="D238" s="96">
        <v>3.2480000000000002</v>
      </c>
    </row>
    <row r="239" spans="1:4" x14ac:dyDescent="0.3">
      <c r="A239" s="93" t="s">
        <v>720</v>
      </c>
      <c r="B239" s="94" t="s">
        <v>721</v>
      </c>
      <c r="C239" s="95" t="s">
        <v>198</v>
      </c>
      <c r="D239" s="96">
        <v>19.731000000000002</v>
      </c>
    </row>
    <row r="240" spans="1:4" ht="27" x14ac:dyDescent="0.3">
      <c r="A240" s="93" t="s">
        <v>722</v>
      </c>
      <c r="B240" s="94" t="s">
        <v>723</v>
      </c>
      <c r="C240" s="95" t="s">
        <v>198</v>
      </c>
      <c r="D240" s="96">
        <v>57.371000000000002</v>
      </c>
    </row>
    <row r="241" spans="1:4" x14ac:dyDescent="0.3">
      <c r="A241" s="93" t="s">
        <v>724</v>
      </c>
      <c r="B241" s="94" t="s">
        <v>725</v>
      </c>
      <c r="C241" s="95" t="s">
        <v>198</v>
      </c>
      <c r="D241" s="96">
        <v>197.88300000000001</v>
      </c>
    </row>
    <row r="242" spans="1:4" x14ac:dyDescent="0.3">
      <c r="A242" s="93" t="s">
        <v>726</v>
      </c>
      <c r="B242" s="94" t="s">
        <v>727</v>
      </c>
      <c r="C242" s="95" t="s">
        <v>728</v>
      </c>
      <c r="D242" s="96">
        <v>0.90700000000000003</v>
      </c>
    </row>
    <row r="243" spans="1:4" x14ac:dyDescent="0.3">
      <c r="A243" s="93" t="s">
        <v>729</v>
      </c>
      <c r="B243" s="94" t="s">
        <v>730</v>
      </c>
      <c r="C243" s="95" t="s">
        <v>200</v>
      </c>
      <c r="D243" s="96">
        <v>37.048999999999999</v>
      </c>
    </row>
    <row r="244" spans="1:4" x14ac:dyDescent="0.3">
      <c r="A244" s="93" t="s">
        <v>731</v>
      </c>
      <c r="B244" s="94" t="s">
        <v>732</v>
      </c>
      <c r="C244" s="95" t="s">
        <v>198</v>
      </c>
      <c r="D244" s="96">
        <v>2.9169999999999998</v>
      </c>
    </row>
    <row r="245" spans="1:4" x14ac:dyDescent="0.3">
      <c r="A245" s="93" t="s">
        <v>733</v>
      </c>
      <c r="B245" s="94" t="s">
        <v>734</v>
      </c>
      <c r="C245" s="95" t="s">
        <v>735</v>
      </c>
      <c r="D245" s="96">
        <v>5.9390000000000001</v>
      </c>
    </row>
    <row r="246" spans="1:4" ht="27" x14ac:dyDescent="0.3">
      <c r="A246" s="93" t="s">
        <v>736</v>
      </c>
      <c r="B246" s="94" t="s">
        <v>737</v>
      </c>
      <c r="C246" s="95" t="s">
        <v>738</v>
      </c>
      <c r="D246" s="96">
        <v>28.777999999999999</v>
      </c>
    </row>
    <row r="247" spans="1:4" x14ac:dyDescent="0.3">
      <c r="A247" s="93" t="s">
        <v>739</v>
      </c>
      <c r="B247" s="94" t="s">
        <v>740</v>
      </c>
      <c r="C247" s="95" t="s">
        <v>198</v>
      </c>
      <c r="D247" s="96">
        <v>0.17</v>
      </c>
    </row>
    <row r="248" spans="1:4" x14ac:dyDescent="0.3">
      <c r="A248" s="97" t="s">
        <v>741</v>
      </c>
      <c r="B248" s="94" t="s">
        <v>742</v>
      </c>
      <c r="C248" s="99" t="s">
        <v>199</v>
      </c>
      <c r="D248" s="96">
        <v>23.657</v>
      </c>
    </row>
    <row r="249" spans="1:4" x14ac:dyDescent="0.3">
      <c r="A249" s="93" t="s">
        <v>743</v>
      </c>
      <c r="B249" s="94" t="s">
        <v>744</v>
      </c>
      <c r="C249" s="95" t="s">
        <v>325</v>
      </c>
      <c r="D249" s="96">
        <v>20.22</v>
      </c>
    </row>
    <row r="250" spans="1:4" x14ac:dyDescent="0.3">
      <c r="A250" s="93" t="s">
        <v>745</v>
      </c>
      <c r="B250" s="94" t="s">
        <v>746</v>
      </c>
      <c r="C250" s="95" t="s">
        <v>198</v>
      </c>
      <c r="D250" s="96">
        <v>10.942</v>
      </c>
    </row>
    <row r="251" spans="1:4" ht="27" x14ac:dyDescent="0.3">
      <c r="A251" s="93" t="s">
        <v>747</v>
      </c>
      <c r="B251" s="94" t="s">
        <v>748</v>
      </c>
      <c r="C251" s="95" t="s">
        <v>749</v>
      </c>
      <c r="D251" s="96">
        <v>11.913</v>
      </c>
    </row>
    <row r="252" spans="1:4" x14ac:dyDescent="0.3">
      <c r="A252" s="93" t="s">
        <v>750</v>
      </c>
      <c r="B252" s="94" t="s">
        <v>751</v>
      </c>
      <c r="C252" s="95" t="s">
        <v>728</v>
      </c>
      <c r="D252" s="96">
        <v>14.946</v>
      </c>
    </row>
    <row r="253" spans="1:4" x14ac:dyDescent="0.3">
      <c r="A253" s="93" t="s">
        <v>752</v>
      </c>
      <c r="B253" s="94" t="s">
        <v>753</v>
      </c>
      <c r="C253" s="95" t="s">
        <v>452</v>
      </c>
      <c r="D253" s="96">
        <v>0.63900000000000001</v>
      </c>
    </row>
    <row r="254" spans="1:4" ht="27" x14ac:dyDescent="0.3">
      <c r="A254" s="93" t="s">
        <v>754</v>
      </c>
      <c r="B254" s="94" t="s">
        <v>755</v>
      </c>
      <c r="C254" s="95" t="s">
        <v>756</v>
      </c>
      <c r="D254" s="96">
        <v>716.48400000000004</v>
      </c>
    </row>
    <row r="255" spans="1:4" x14ac:dyDescent="0.3">
      <c r="A255" s="93" t="s">
        <v>757</v>
      </c>
      <c r="B255" s="94" t="s">
        <v>758</v>
      </c>
      <c r="C255" s="95" t="s">
        <v>759</v>
      </c>
      <c r="D255" s="96">
        <v>367.96100000000001</v>
      </c>
    </row>
    <row r="256" spans="1:4" ht="27" x14ac:dyDescent="0.3">
      <c r="A256" s="93" t="s">
        <v>760</v>
      </c>
      <c r="B256" s="94" t="s">
        <v>761</v>
      </c>
      <c r="C256" s="95" t="s">
        <v>762</v>
      </c>
      <c r="D256" s="96">
        <v>4681.8059999999996</v>
      </c>
    </row>
    <row r="257" spans="1:4" x14ac:dyDescent="0.3">
      <c r="A257" s="93" t="s">
        <v>763</v>
      </c>
      <c r="B257" s="94" t="s">
        <v>764</v>
      </c>
      <c r="C257" s="95" t="s">
        <v>198</v>
      </c>
      <c r="D257" s="96">
        <v>2361.0450000000001</v>
      </c>
    </row>
    <row r="258" spans="1:4" x14ac:dyDescent="0.3">
      <c r="A258" s="93" t="s">
        <v>765</v>
      </c>
      <c r="B258" s="94" t="s">
        <v>766</v>
      </c>
      <c r="C258" s="95" t="s">
        <v>767</v>
      </c>
      <c r="D258" s="96">
        <v>29.294690000000003</v>
      </c>
    </row>
    <row r="259" spans="1:4" x14ac:dyDescent="0.3">
      <c r="A259" s="93" t="s">
        <v>768</v>
      </c>
      <c r="B259" s="94" t="s">
        <v>769</v>
      </c>
      <c r="C259" s="95" t="s">
        <v>209</v>
      </c>
      <c r="D259" s="96">
        <v>48.29</v>
      </c>
    </row>
    <row r="260" spans="1:4" x14ac:dyDescent="0.3">
      <c r="A260" s="93" t="s">
        <v>770</v>
      </c>
      <c r="B260" s="94" t="s">
        <v>771</v>
      </c>
      <c r="C260" s="95" t="s">
        <v>767</v>
      </c>
      <c r="D260" s="96">
        <v>1.0289999999999999</v>
      </c>
    </row>
    <row r="261" spans="1:4" x14ac:dyDescent="0.3">
      <c r="A261" s="93" t="s">
        <v>772</v>
      </c>
      <c r="B261" s="94" t="s">
        <v>773</v>
      </c>
      <c r="C261" s="95" t="s">
        <v>774</v>
      </c>
      <c r="D261" s="96">
        <v>1.9419999999999999</v>
      </c>
    </row>
    <row r="262" spans="1:4" ht="27" x14ac:dyDescent="0.3">
      <c r="A262" s="93" t="s">
        <v>775</v>
      </c>
      <c r="B262" s="94" t="s">
        <v>776</v>
      </c>
      <c r="C262" s="95" t="s">
        <v>683</v>
      </c>
      <c r="D262" s="96">
        <v>109.68899999999999</v>
      </c>
    </row>
    <row r="263" spans="1:4" x14ac:dyDescent="0.3">
      <c r="A263" s="93" t="s">
        <v>777</v>
      </c>
      <c r="B263" s="94" t="s">
        <v>778</v>
      </c>
      <c r="C263" s="95" t="s">
        <v>209</v>
      </c>
      <c r="D263" s="96">
        <v>2.0539999999999998</v>
      </c>
    </row>
    <row r="264" spans="1:4" x14ac:dyDescent="0.3">
      <c r="A264" s="93" t="s">
        <v>779</v>
      </c>
      <c r="B264" s="94" t="s">
        <v>780</v>
      </c>
      <c r="C264" s="95" t="s">
        <v>781</v>
      </c>
      <c r="D264" s="96">
        <v>39.200000000000003</v>
      </c>
    </row>
    <row r="265" spans="1:4" x14ac:dyDescent="0.3">
      <c r="A265" s="97" t="s">
        <v>782</v>
      </c>
      <c r="B265" s="94" t="s">
        <v>783</v>
      </c>
      <c r="C265" s="95" t="s">
        <v>198</v>
      </c>
      <c r="D265" s="96">
        <v>330.47500000000002</v>
      </c>
    </row>
    <row r="266" spans="1:4" x14ac:dyDescent="0.3">
      <c r="A266" s="93" t="s">
        <v>784</v>
      </c>
      <c r="B266" s="94" t="s">
        <v>785</v>
      </c>
      <c r="C266" s="95" t="s">
        <v>452</v>
      </c>
      <c r="D266" s="96">
        <v>12.46</v>
      </c>
    </row>
    <row r="267" spans="1:4" x14ac:dyDescent="0.3">
      <c r="A267" s="93" t="s">
        <v>786</v>
      </c>
      <c r="B267" s="94" t="s">
        <v>787</v>
      </c>
      <c r="C267" s="95" t="s">
        <v>209</v>
      </c>
      <c r="D267" s="96">
        <v>1.8480000000000001</v>
      </c>
    </row>
    <row r="268" spans="1:4" ht="27" x14ac:dyDescent="0.3">
      <c r="A268" s="93" t="s">
        <v>788</v>
      </c>
      <c r="B268" s="94" t="s">
        <v>789</v>
      </c>
      <c r="C268" s="95" t="s">
        <v>553</v>
      </c>
      <c r="D268" s="96">
        <v>15.445</v>
      </c>
    </row>
    <row r="269" spans="1:4" x14ac:dyDescent="0.3">
      <c r="A269" s="93" t="s">
        <v>790</v>
      </c>
      <c r="B269" s="94" t="s">
        <v>791</v>
      </c>
      <c r="C269" s="95" t="s">
        <v>405</v>
      </c>
      <c r="D269" s="96">
        <v>77.302000000000007</v>
      </c>
    </row>
    <row r="270" spans="1:4" x14ac:dyDescent="0.3">
      <c r="A270" s="93" t="s">
        <v>792</v>
      </c>
      <c r="B270" s="94" t="s">
        <v>793</v>
      </c>
      <c r="C270" s="95" t="s">
        <v>295</v>
      </c>
      <c r="D270" s="96">
        <v>1.927</v>
      </c>
    </row>
    <row r="271" spans="1:4" x14ac:dyDescent="0.3">
      <c r="A271" s="93" t="s">
        <v>794</v>
      </c>
      <c r="B271" s="94" t="s">
        <v>795</v>
      </c>
      <c r="C271" s="95" t="s">
        <v>199</v>
      </c>
      <c r="D271" s="96">
        <v>0.115</v>
      </c>
    </row>
    <row r="272" spans="1:4" x14ac:dyDescent="0.3">
      <c r="A272" s="93" t="s">
        <v>796</v>
      </c>
      <c r="B272" s="94" t="s">
        <v>797</v>
      </c>
      <c r="C272" s="95" t="s">
        <v>199</v>
      </c>
      <c r="D272" s="96">
        <v>1.0069999999999999</v>
      </c>
    </row>
    <row r="273" spans="1:4" x14ac:dyDescent="0.3">
      <c r="A273" s="93" t="s">
        <v>798</v>
      </c>
      <c r="B273" s="94" t="s">
        <v>799</v>
      </c>
      <c r="C273" s="95" t="s">
        <v>371</v>
      </c>
      <c r="D273" s="96">
        <v>15.132999999999999</v>
      </c>
    </row>
    <row r="274" spans="1:4" ht="27" x14ac:dyDescent="0.3">
      <c r="A274" s="93" t="s">
        <v>802</v>
      </c>
      <c r="B274" s="94" t="s">
        <v>803</v>
      </c>
      <c r="C274" s="95" t="s">
        <v>199</v>
      </c>
      <c r="D274" s="96">
        <v>1.921</v>
      </c>
    </row>
    <row r="275" spans="1:4" x14ac:dyDescent="0.3">
      <c r="A275" s="93" t="s">
        <v>804</v>
      </c>
      <c r="B275" s="94" t="s">
        <v>805</v>
      </c>
      <c r="C275" s="95" t="s">
        <v>284</v>
      </c>
      <c r="D275" s="96">
        <v>417.76100000000002</v>
      </c>
    </row>
    <row r="276" spans="1:4" x14ac:dyDescent="0.3">
      <c r="A276" s="93" t="s">
        <v>806</v>
      </c>
      <c r="B276" s="94" t="s">
        <v>807</v>
      </c>
      <c r="C276" s="95" t="s">
        <v>808</v>
      </c>
      <c r="D276" s="96">
        <v>363.97899999999998</v>
      </c>
    </row>
    <row r="277" spans="1:4" x14ac:dyDescent="0.3">
      <c r="A277" s="93" t="s">
        <v>809</v>
      </c>
      <c r="B277" s="94" t="s">
        <v>810</v>
      </c>
      <c r="C277" s="95" t="s">
        <v>553</v>
      </c>
      <c r="D277" s="96">
        <v>5.0629999999999997</v>
      </c>
    </row>
    <row r="278" spans="1:4" x14ac:dyDescent="0.3">
      <c r="A278" s="93" t="s">
        <v>811</v>
      </c>
      <c r="B278" s="94" t="s">
        <v>812</v>
      </c>
      <c r="C278" s="95" t="s">
        <v>396</v>
      </c>
      <c r="D278" s="96">
        <v>279.81799999999998</v>
      </c>
    </row>
    <row r="279" spans="1:4" x14ac:dyDescent="0.3">
      <c r="A279" s="93" t="s">
        <v>813</v>
      </c>
      <c r="B279" s="94" t="s">
        <v>814</v>
      </c>
      <c r="C279" s="95" t="s">
        <v>273</v>
      </c>
      <c r="D279" s="96">
        <v>57.713999999999999</v>
      </c>
    </row>
    <row r="280" spans="1:4" x14ac:dyDescent="0.3">
      <c r="A280" s="93" t="s">
        <v>815</v>
      </c>
      <c r="B280" s="94" t="s">
        <v>816</v>
      </c>
      <c r="C280" s="99" t="s">
        <v>198</v>
      </c>
      <c r="D280" s="96">
        <v>9.3379999999999992</v>
      </c>
    </row>
    <row r="281" spans="1:4" ht="27" x14ac:dyDescent="0.3">
      <c r="A281" s="93" t="s">
        <v>817</v>
      </c>
      <c r="B281" s="94" t="s">
        <v>818</v>
      </c>
      <c r="C281" s="95" t="s">
        <v>819</v>
      </c>
      <c r="D281" s="96">
        <v>28.622</v>
      </c>
    </row>
    <row r="282" spans="1:4" x14ac:dyDescent="0.3">
      <c r="A282" s="93" t="s">
        <v>820</v>
      </c>
      <c r="B282" s="94" t="s">
        <v>821</v>
      </c>
      <c r="C282" s="95" t="s">
        <v>822</v>
      </c>
      <c r="D282" s="96">
        <v>82.2</v>
      </c>
    </row>
    <row r="283" spans="1:4" x14ac:dyDescent="0.3">
      <c r="A283" s="93" t="s">
        <v>823</v>
      </c>
      <c r="B283" s="94" t="s">
        <v>824</v>
      </c>
      <c r="C283" s="95" t="s">
        <v>825</v>
      </c>
      <c r="D283" s="96">
        <v>4.8289999999999997</v>
      </c>
    </row>
    <row r="284" spans="1:4" ht="27" x14ac:dyDescent="0.3">
      <c r="A284" s="93" t="s">
        <v>826</v>
      </c>
      <c r="B284" s="94" t="s">
        <v>827</v>
      </c>
      <c r="C284" s="95" t="s">
        <v>825</v>
      </c>
      <c r="D284" s="96">
        <v>27.779</v>
      </c>
    </row>
    <row r="285" spans="1:4" x14ac:dyDescent="0.3">
      <c r="A285" s="93" t="s">
        <v>828</v>
      </c>
      <c r="B285" s="94" t="s">
        <v>829</v>
      </c>
      <c r="C285" s="95" t="s">
        <v>396</v>
      </c>
      <c r="D285" s="96">
        <v>9.41</v>
      </c>
    </row>
    <row r="286" spans="1:4" x14ac:dyDescent="0.3">
      <c r="A286" s="93" t="s">
        <v>830</v>
      </c>
      <c r="B286" s="94" t="s">
        <v>831</v>
      </c>
      <c r="C286" s="95" t="s">
        <v>198</v>
      </c>
      <c r="D286" s="96">
        <v>9.1999999999999998E-2</v>
      </c>
    </row>
    <row r="287" spans="1:4" x14ac:dyDescent="0.3">
      <c r="A287" s="100" t="s">
        <v>832</v>
      </c>
      <c r="B287" s="94" t="s">
        <v>833</v>
      </c>
      <c r="C287" s="95" t="s">
        <v>834</v>
      </c>
      <c r="D287" s="96">
        <v>71.605000000000004</v>
      </c>
    </row>
    <row r="288" spans="1:4" x14ac:dyDescent="0.3">
      <c r="A288" s="93" t="s">
        <v>835</v>
      </c>
      <c r="B288" s="94" t="s">
        <v>836</v>
      </c>
      <c r="C288" s="95" t="s">
        <v>381</v>
      </c>
      <c r="D288" s="96">
        <v>19.181999999999999</v>
      </c>
    </row>
    <row r="289" spans="1:4" x14ac:dyDescent="0.3">
      <c r="A289" s="93" t="s">
        <v>837</v>
      </c>
      <c r="B289" s="94" t="s">
        <v>838</v>
      </c>
      <c r="C289" s="95" t="s">
        <v>839</v>
      </c>
      <c r="D289" s="96">
        <v>104.965</v>
      </c>
    </row>
    <row r="290" spans="1:4" x14ac:dyDescent="0.3">
      <c r="A290" s="93" t="s">
        <v>840</v>
      </c>
      <c r="B290" s="94" t="s">
        <v>841</v>
      </c>
      <c r="C290" s="95" t="s">
        <v>491</v>
      </c>
      <c r="D290" s="96">
        <v>0.32700000000000001</v>
      </c>
    </row>
    <row r="291" spans="1:4" x14ac:dyDescent="0.3">
      <c r="A291" s="93" t="s">
        <v>842</v>
      </c>
      <c r="B291" s="94" t="s">
        <v>843</v>
      </c>
      <c r="C291" s="95" t="s">
        <v>325</v>
      </c>
      <c r="D291" s="96">
        <v>38.960999999999999</v>
      </c>
    </row>
    <row r="292" spans="1:4" ht="27" x14ac:dyDescent="0.3">
      <c r="A292" s="93" t="s">
        <v>846</v>
      </c>
      <c r="B292" s="94" t="s">
        <v>847</v>
      </c>
      <c r="C292" s="95" t="s">
        <v>848</v>
      </c>
      <c r="D292" s="96">
        <v>1.944</v>
      </c>
    </row>
    <row r="293" spans="1:4" ht="27" x14ac:dyDescent="0.3">
      <c r="A293" s="93" t="s">
        <v>849</v>
      </c>
      <c r="B293" s="94" t="s">
        <v>850</v>
      </c>
      <c r="C293" s="95" t="s">
        <v>491</v>
      </c>
      <c r="D293" s="96">
        <v>4.8719999999999999</v>
      </c>
    </row>
    <row r="294" spans="1:4" ht="27" x14ac:dyDescent="0.3">
      <c r="A294" s="93" t="s">
        <v>851</v>
      </c>
      <c r="B294" s="94" t="s">
        <v>850</v>
      </c>
      <c r="C294" s="95" t="s">
        <v>852</v>
      </c>
      <c r="D294" s="96">
        <v>6.9279999999999999</v>
      </c>
    </row>
    <row r="295" spans="1:4" x14ac:dyDescent="0.3">
      <c r="A295" s="93" t="s">
        <v>853</v>
      </c>
      <c r="B295" s="94" t="s">
        <v>854</v>
      </c>
      <c r="C295" s="95" t="s">
        <v>198</v>
      </c>
      <c r="D295" s="96">
        <v>87.748999999999995</v>
      </c>
    </row>
    <row r="296" spans="1:4" x14ac:dyDescent="0.3">
      <c r="A296" s="93" t="s">
        <v>855</v>
      </c>
      <c r="B296" s="94" t="s">
        <v>856</v>
      </c>
      <c r="C296" s="95" t="s">
        <v>405</v>
      </c>
      <c r="D296" s="96">
        <v>6.3849999999999998</v>
      </c>
    </row>
    <row r="297" spans="1:4" x14ac:dyDescent="0.3">
      <c r="A297" s="93" t="s">
        <v>857</v>
      </c>
      <c r="B297" s="94" t="s">
        <v>858</v>
      </c>
      <c r="C297" s="95" t="s">
        <v>273</v>
      </c>
      <c r="D297" s="96">
        <v>0.82899999999999996</v>
      </c>
    </row>
    <row r="298" spans="1:4" x14ac:dyDescent="0.3">
      <c r="A298" s="97" t="s">
        <v>859</v>
      </c>
      <c r="B298" s="94" t="s">
        <v>860</v>
      </c>
      <c r="C298" s="99" t="s">
        <v>371</v>
      </c>
      <c r="D298" s="96">
        <v>40.335000000000001</v>
      </c>
    </row>
    <row r="299" spans="1:4" x14ac:dyDescent="0.3">
      <c r="A299" s="93" t="s">
        <v>861</v>
      </c>
      <c r="B299" s="94" t="s">
        <v>862</v>
      </c>
      <c r="C299" s="95" t="s">
        <v>749</v>
      </c>
      <c r="D299" s="96">
        <v>108.38500000000001</v>
      </c>
    </row>
    <row r="300" spans="1:4" x14ac:dyDescent="0.3">
      <c r="A300" s="97" t="s">
        <v>863</v>
      </c>
      <c r="B300" s="94" t="s">
        <v>864</v>
      </c>
      <c r="C300" s="99" t="s">
        <v>198</v>
      </c>
      <c r="D300" s="96">
        <v>1.423</v>
      </c>
    </row>
    <row r="301" spans="1:4" x14ac:dyDescent="0.3">
      <c r="A301" s="93" t="s">
        <v>865</v>
      </c>
      <c r="B301" s="94" t="s">
        <v>866</v>
      </c>
      <c r="C301" s="95" t="s">
        <v>199</v>
      </c>
      <c r="D301" s="96">
        <v>5.5540000000000003</v>
      </c>
    </row>
    <row r="302" spans="1:4" x14ac:dyDescent="0.3">
      <c r="A302" s="93" t="s">
        <v>867</v>
      </c>
      <c r="B302" s="94" t="s">
        <v>868</v>
      </c>
      <c r="C302" s="95" t="s">
        <v>198</v>
      </c>
      <c r="D302" s="96">
        <v>121.813</v>
      </c>
    </row>
    <row r="303" spans="1:4" x14ac:dyDescent="0.3">
      <c r="A303" s="93" t="s">
        <v>869</v>
      </c>
      <c r="B303" s="94" t="s">
        <v>870</v>
      </c>
      <c r="C303" s="95" t="s">
        <v>198</v>
      </c>
      <c r="D303" s="96">
        <v>2.6840000000000002</v>
      </c>
    </row>
    <row r="304" spans="1:4" ht="27" x14ac:dyDescent="0.3">
      <c r="A304" s="93" t="s">
        <v>871</v>
      </c>
      <c r="B304" s="94" t="s">
        <v>872</v>
      </c>
      <c r="C304" s="95" t="s">
        <v>198</v>
      </c>
      <c r="D304" s="96">
        <v>5.1999999999999998E-2</v>
      </c>
    </row>
    <row r="305" spans="1:4" ht="27" x14ac:dyDescent="0.3">
      <c r="A305" s="93" t="s">
        <v>873</v>
      </c>
      <c r="B305" s="94" t="s">
        <v>874</v>
      </c>
      <c r="C305" s="99" t="s">
        <v>198</v>
      </c>
      <c r="D305" s="96">
        <v>1.361</v>
      </c>
    </row>
    <row r="306" spans="1:4" ht="27" x14ac:dyDescent="0.3">
      <c r="A306" s="93" t="s">
        <v>875</v>
      </c>
      <c r="B306" s="94" t="s">
        <v>876</v>
      </c>
      <c r="C306" s="95" t="s">
        <v>209</v>
      </c>
      <c r="D306" s="96">
        <v>30.335999999999999</v>
      </c>
    </row>
    <row r="307" spans="1:4" x14ac:dyDescent="0.3">
      <c r="A307" s="93" t="s">
        <v>877</v>
      </c>
      <c r="B307" s="94" t="s">
        <v>878</v>
      </c>
      <c r="C307" s="95" t="s">
        <v>879</v>
      </c>
      <c r="D307" s="96">
        <v>1653.5889999999999</v>
      </c>
    </row>
    <row r="308" spans="1:4" x14ac:dyDescent="0.3">
      <c r="A308" s="93" t="s">
        <v>880</v>
      </c>
      <c r="B308" s="94" t="s">
        <v>881</v>
      </c>
      <c r="C308" s="95" t="s">
        <v>198</v>
      </c>
      <c r="D308" s="96">
        <v>1.8740000000000001</v>
      </c>
    </row>
    <row r="309" spans="1:4" x14ac:dyDescent="0.3">
      <c r="A309" s="93" t="s">
        <v>884</v>
      </c>
      <c r="B309" s="94" t="s">
        <v>885</v>
      </c>
      <c r="C309" s="95" t="s">
        <v>442</v>
      </c>
      <c r="D309" s="96">
        <v>32.773000000000003</v>
      </c>
    </row>
    <row r="310" spans="1:4" ht="27" x14ac:dyDescent="0.3">
      <c r="A310" s="93" t="s">
        <v>886</v>
      </c>
      <c r="B310" s="94" t="s">
        <v>887</v>
      </c>
      <c r="C310" s="95" t="s">
        <v>494</v>
      </c>
      <c r="D310" s="96">
        <v>2.9169999999999998</v>
      </c>
    </row>
    <row r="311" spans="1:4" x14ac:dyDescent="0.3">
      <c r="A311" s="93" t="s">
        <v>888</v>
      </c>
      <c r="B311" s="94" t="s">
        <v>889</v>
      </c>
      <c r="C311" s="95" t="s">
        <v>198</v>
      </c>
      <c r="D311" s="96">
        <v>4.93</v>
      </c>
    </row>
    <row r="312" spans="1:4" x14ac:dyDescent="0.3">
      <c r="A312" s="93" t="s">
        <v>890</v>
      </c>
      <c r="B312" s="94" t="s">
        <v>891</v>
      </c>
      <c r="C312" s="95" t="s">
        <v>198</v>
      </c>
      <c r="D312" s="96">
        <v>66.125</v>
      </c>
    </row>
    <row r="313" spans="1:4" ht="27" x14ac:dyDescent="0.3">
      <c r="A313" s="93" t="s">
        <v>892</v>
      </c>
      <c r="B313" s="94" t="s">
        <v>893</v>
      </c>
      <c r="C313" s="95" t="s">
        <v>198</v>
      </c>
      <c r="D313" s="96">
        <v>3.855</v>
      </c>
    </row>
    <row r="314" spans="1:4" x14ac:dyDescent="0.3">
      <c r="A314" s="93" t="s">
        <v>894</v>
      </c>
      <c r="B314" s="94" t="s">
        <v>895</v>
      </c>
      <c r="C314" s="95" t="s">
        <v>199</v>
      </c>
      <c r="D314" s="96">
        <v>1.6990000000000001</v>
      </c>
    </row>
    <row r="315" spans="1:4" ht="27" x14ac:dyDescent="0.3">
      <c r="A315" s="93" t="s">
        <v>896</v>
      </c>
      <c r="B315" s="94" t="s">
        <v>897</v>
      </c>
      <c r="C315" s="99" t="s">
        <v>198</v>
      </c>
      <c r="D315" s="96">
        <v>18.881</v>
      </c>
    </row>
    <row r="316" spans="1:4" x14ac:dyDescent="0.3">
      <c r="A316" s="93" t="s">
        <v>898</v>
      </c>
      <c r="B316" s="94" t="s">
        <v>899</v>
      </c>
      <c r="C316" s="95" t="s">
        <v>670</v>
      </c>
      <c r="D316" s="96">
        <v>244.495</v>
      </c>
    </row>
    <row r="317" spans="1:4" ht="27" x14ac:dyDescent="0.3">
      <c r="A317" s="93" t="s">
        <v>900</v>
      </c>
      <c r="B317" s="94" t="s">
        <v>901</v>
      </c>
      <c r="C317" s="95" t="s">
        <v>198</v>
      </c>
      <c r="D317" s="96">
        <v>184.04599999999999</v>
      </c>
    </row>
    <row r="318" spans="1:4" ht="27" x14ac:dyDescent="0.3">
      <c r="A318" s="93" t="s">
        <v>902</v>
      </c>
      <c r="B318" s="94" t="s">
        <v>903</v>
      </c>
      <c r="C318" s="95" t="s">
        <v>198</v>
      </c>
      <c r="D318" s="96">
        <v>12.19</v>
      </c>
    </row>
    <row r="319" spans="1:4" x14ac:dyDescent="0.3">
      <c r="A319" s="93" t="s">
        <v>904</v>
      </c>
      <c r="B319" s="94" t="s">
        <v>905</v>
      </c>
      <c r="C319" s="95" t="s">
        <v>200</v>
      </c>
      <c r="D319" s="96">
        <v>6.8780000000000001</v>
      </c>
    </row>
    <row r="320" spans="1:4" x14ac:dyDescent="0.3">
      <c r="A320" s="93" t="s">
        <v>906</v>
      </c>
      <c r="B320" s="94" t="s">
        <v>907</v>
      </c>
      <c r="C320" s="95" t="s">
        <v>284</v>
      </c>
      <c r="D320" s="96">
        <v>4.2350000000000003</v>
      </c>
    </row>
    <row r="321" spans="1:4" x14ac:dyDescent="0.3">
      <c r="A321" s="97" t="s">
        <v>908</v>
      </c>
      <c r="B321" s="94" t="s">
        <v>909</v>
      </c>
      <c r="C321" s="99" t="s">
        <v>198</v>
      </c>
      <c r="D321" s="96">
        <v>20.04</v>
      </c>
    </row>
    <row r="322" spans="1:4" x14ac:dyDescent="0.3">
      <c r="A322" s="93" t="s">
        <v>910</v>
      </c>
      <c r="B322" s="94" t="s">
        <v>911</v>
      </c>
      <c r="C322" s="95" t="s">
        <v>360</v>
      </c>
      <c r="D322" s="96">
        <v>345.62200000000001</v>
      </c>
    </row>
    <row r="323" spans="1:4" x14ac:dyDescent="0.3">
      <c r="A323" s="93" t="s">
        <v>912</v>
      </c>
      <c r="B323" s="94" t="s">
        <v>913</v>
      </c>
      <c r="C323" s="95" t="s">
        <v>273</v>
      </c>
      <c r="D323" s="96">
        <v>10.981999999999999</v>
      </c>
    </row>
    <row r="324" spans="1:4" x14ac:dyDescent="0.3">
      <c r="A324" s="93" t="s">
        <v>914</v>
      </c>
      <c r="B324" s="94" t="s">
        <v>915</v>
      </c>
      <c r="C324" s="95" t="s">
        <v>553</v>
      </c>
      <c r="D324" s="96">
        <v>6.359</v>
      </c>
    </row>
    <row r="325" spans="1:4" x14ac:dyDescent="0.3">
      <c r="A325" s="93" t="s">
        <v>916</v>
      </c>
      <c r="B325" s="94" t="s">
        <v>917</v>
      </c>
      <c r="C325" s="95" t="s">
        <v>257</v>
      </c>
      <c r="D325" s="96">
        <v>3.0190000000000001</v>
      </c>
    </row>
    <row r="326" spans="1:4" x14ac:dyDescent="0.3">
      <c r="A326" s="93" t="s">
        <v>918</v>
      </c>
      <c r="B326" s="94" t="s">
        <v>919</v>
      </c>
      <c r="C326" s="95" t="s">
        <v>257</v>
      </c>
      <c r="D326" s="96">
        <v>10.162000000000001</v>
      </c>
    </row>
    <row r="327" spans="1:4" x14ac:dyDescent="0.3">
      <c r="A327" s="93" t="s">
        <v>920</v>
      </c>
      <c r="B327" s="94" t="s">
        <v>921</v>
      </c>
      <c r="C327" s="95" t="s">
        <v>922</v>
      </c>
      <c r="D327" s="96">
        <v>1.742</v>
      </c>
    </row>
    <row r="328" spans="1:4" x14ac:dyDescent="0.3">
      <c r="A328" s="93" t="s">
        <v>923</v>
      </c>
      <c r="B328" s="94" t="s">
        <v>924</v>
      </c>
      <c r="C328" s="95" t="s">
        <v>198</v>
      </c>
      <c r="D328" s="96">
        <v>4.2320000000000002</v>
      </c>
    </row>
    <row r="329" spans="1:4" x14ac:dyDescent="0.3">
      <c r="A329" s="93" t="s">
        <v>925</v>
      </c>
      <c r="B329" s="94" t="s">
        <v>926</v>
      </c>
      <c r="C329" s="95" t="s">
        <v>199</v>
      </c>
      <c r="D329" s="96">
        <v>1.776</v>
      </c>
    </row>
    <row r="330" spans="1:4" x14ac:dyDescent="0.3">
      <c r="A330" s="97" t="s">
        <v>927</v>
      </c>
      <c r="B330" s="94" t="s">
        <v>928</v>
      </c>
      <c r="C330" s="99" t="s">
        <v>354</v>
      </c>
      <c r="D330" s="96">
        <v>0.40899999999999997</v>
      </c>
    </row>
    <row r="331" spans="1:4" ht="27" x14ac:dyDescent="0.3">
      <c r="A331" s="93" t="s">
        <v>929</v>
      </c>
      <c r="B331" s="94" t="s">
        <v>930</v>
      </c>
      <c r="C331" s="95" t="s">
        <v>931</v>
      </c>
      <c r="D331" s="96">
        <v>0.35799999999999998</v>
      </c>
    </row>
    <row r="332" spans="1:4" x14ac:dyDescent="0.3">
      <c r="A332" s="93" t="s">
        <v>932</v>
      </c>
      <c r="B332" s="94" t="s">
        <v>933</v>
      </c>
      <c r="C332" s="95" t="s">
        <v>284</v>
      </c>
      <c r="D332" s="96">
        <v>0.55500000000000005</v>
      </c>
    </row>
    <row r="333" spans="1:4" x14ac:dyDescent="0.3">
      <c r="A333" s="93" t="s">
        <v>934</v>
      </c>
      <c r="B333" s="94" t="s">
        <v>935</v>
      </c>
      <c r="C333" s="95" t="s">
        <v>936</v>
      </c>
      <c r="D333" s="96">
        <v>0.14299999999999999</v>
      </c>
    </row>
    <row r="334" spans="1:4" x14ac:dyDescent="0.3">
      <c r="A334" s="93" t="s">
        <v>937</v>
      </c>
      <c r="B334" s="94" t="s">
        <v>938</v>
      </c>
      <c r="C334" s="95" t="s">
        <v>199</v>
      </c>
      <c r="D334" s="96">
        <v>1.5129999999999999</v>
      </c>
    </row>
    <row r="335" spans="1:4" x14ac:dyDescent="0.3">
      <c r="A335" s="93" t="s">
        <v>939</v>
      </c>
      <c r="B335" s="94" t="s">
        <v>940</v>
      </c>
      <c r="C335" s="95" t="s">
        <v>199</v>
      </c>
      <c r="D335" s="96">
        <v>18.097999999999999</v>
      </c>
    </row>
    <row r="336" spans="1:4" x14ac:dyDescent="0.3">
      <c r="A336" s="93" t="s">
        <v>941</v>
      </c>
      <c r="B336" s="94" t="s">
        <v>942</v>
      </c>
      <c r="C336" s="95" t="s">
        <v>198</v>
      </c>
      <c r="D336" s="96">
        <v>12.744999999999999</v>
      </c>
    </row>
    <row r="337" spans="1:4" x14ac:dyDescent="0.3">
      <c r="A337" s="93" t="s">
        <v>943</v>
      </c>
      <c r="B337" s="94" t="s">
        <v>944</v>
      </c>
      <c r="C337" s="95" t="s">
        <v>945</v>
      </c>
      <c r="D337" s="96">
        <v>2.52</v>
      </c>
    </row>
    <row r="338" spans="1:4" x14ac:dyDescent="0.3">
      <c r="A338" s="93" t="s">
        <v>946</v>
      </c>
      <c r="B338" s="94" t="s">
        <v>944</v>
      </c>
      <c r="C338" s="95" t="s">
        <v>947</v>
      </c>
      <c r="D338" s="96">
        <v>1.26</v>
      </c>
    </row>
    <row r="339" spans="1:4" x14ac:dyDescent="0.3">
      <c r="A339" s="93" t="s">
        <v>948</v>
      </c>
      <c r="B339" s="94" t="s">
        <v>949</v>
      </c>
      <c r="C339" s="95" t="s">
        <v>947</v>
      </c>
      <c r="D339" s="96">
        <v>1.0009999999999999</v>
      </c>
    </row>
    <row r="340" spans="1:4" x14ac:dyDescent="0.3">
      <c r="A340" s="93" t="s">
        <v>950</v>
      </c>
      <c r="B340" s="94" t="s">
        <v>944</v>
      </c>
      <c r="C340" s="95" t="s">
        <v>951</v>
      </c>
      <c r="D340" s="96">
        <v>0.63</v>
      </c>
    </row>
    <row r="341" spans="1:4" x14ac:dyDescent="0.3">
      <c r="A341" s="93" t="s">
        <v>952</v>
      </c>
      <c r="B341" s="94" t="s">
        <v>953</v>
      </c>
      <c r="C341" s="95" t="s">
        <v>947</v>
      </c>
      <c r="D341" s="96">
        <v>2.4750000000000001</v>
      </c>
    </row>
    <row r="342" spans="1:4" x14ac:dyDescent="0.3">
      <c r="A342" s="93" t="s">
        <v>954</v>
      </c>
      <c r="B342" s="94" t="s">
        <v>955</v>
      </c>
      <c r="C342" s="95" t="s">
        <v>956</v>
      </c>
      <c r="D342" s="96">
        <v>4.5590000000000002</v>
      </c>
    </row>
    <row r="343" spans="1:4" x14ac:dyDescent="0.3">
      <c r="A343" s="93" t="s">
        <v>957</v>
      </c>
      <c r="B343" s="94" t="s">
        <v>958</v>
      </c>
      <c r="C343" s="95" t="s">
        <v>956</v>
      </c>
      <c r="D343" s="96">
        <v>2.4510000000000001</v>
      </c>
    </row>
    <row r="344" spans="1:4" ht="27" x14ac:dyDescent="0.3">
      <c r="A344" s="93" t="s">
        <v>959</v>
      </c>
      <c r="B344" s="94" t="s">
        <v>960</v>
      </c>
      <c r="C344" s="95" t="s">
        <v>396</v>
      </c>
      <c r="D344" s="96">
        <v>48.597999999999999</v>
      </c>
    </row>
    <row r="345" spans="1:4" x14ac:dyDescent="0.3">
      <c r="A345" s="93" t="s">
        <v>968</v>
      </c>
      <c r="B345" s="94" t="s">
        <v>969</v>
      </c>
      <c r="C345" s="95" t="s">
        <v>963</v>
      </c>
      <c r="D345" s="96">
        <v>8.2129999999999992</v>
      </c>
    </row>
    <row r="346" spans="1:4" ht="27" x14ac:dyDescent="0.3">
      <c r="A346" s="97" t="s">
        <v>972</v>
      </c>
      <c r="B346" s="94" t="s">
        <v>973</v>
      </c>
      <c r="C346" s="95" t="s">
        <v>963</v>
      </c>
      <c r="D346" s="96">
        <v>1.331</v>
      </c>
    </row>
    <row r="347" spans="1:4" x14ac:dyDescent="0.3">
      <c r="A347" s="93" t="s">
        <v>974</v>
      </c>
      <c r="B347" s="94" t="s">
        <v>975</v>
      </c>
      <c r="C347" s="95" t="s">
        <v>976</v>
      </c>
      <c r="D347" s="96">
        <v>1.024</v>
      </c>
    </row>
    <row r="348" spans="1:4" x14ac:dyDescent="0.3">
      <c r="A348" s="93" t="s">
        <v>977</v>
      </c>
      <c r="B348" s="94" t="s">
        <v>978</v>
      </c>
      <c r="C348" s="95" t="s">
        <v>963</v>
      </c>
      <c r="D348" s="96">
        <v>1.218</v>
      </c>
    </row>
    <row r="349" spans="1:4" ht="27" x14ac:dyDescent="0.3">
      <c r="A349" s="93" t="s">
        <v>979</v>
      </c>
      <c r="B349" s="94" t="s">
        <v>980</v>
      </c>
      <c r="C349" s="101" t="s">
        <v>981</v>
      </c>
      <c r="D349" s="96">
        <v>0.997</v>
      </c>
    </row>
    <row r="350" spans="1:4" x14ac:dyDescent="0.3">
      <c r="A350" s="93" t="s">
        <v>982</v>
      </c>
      <c r="B350" s="94" t="s">
        <v>983</v>
      </c>
      <c r="C350" s="95" t="s">
        <v>963</v>
      </c>
      <c r="D350" s="96">
        <v>1.129</v>
      </c>
    </row>
    <row r="351" spans="1:4" x14ac:dyDescent="0.3">
      <c r="A351" s="93" t="s">
        <v>986</v>
      </c>
      <c r="B351" s="94" t="s">
        <v>987</v>
      </c>
      <c r="C351" s="101" t="s">
        <v>452</v>
      </c>
      <c r="D351" s="96">
        <v>2.08</v>
      </c>
    </row>
    <row r="352" spans="1:4" x14ac:dyDescent="0.3">
      <c r="A352" s="93" t="s">
        <v>988</v>
      </c>
      <c r="B352" s="94" t="s">
        <v>989</v>
      </c>
      <c r="C352" s="95" t="s">
        <v>963</v>
      </c>
      <c r="D352" s="96">
        <v>1.08</v>
      </c>
    </row>
    <row r="353" spans="1:4" x14ac:dyDescent="0.3">
      <c r="A353" s="93" t="s">
        <v>990</v>
      </c>
      <c r="B353" s="94" t="s">
        <v>991</v>
      </c>
      <c r="C353" s="95" t="s">
        <v>963</v>
      </c>
      <c r="D353" s="96">
        <v>1.3009999999999999</v>
      </c>
    </row>
    <row r="354" spans="1:4" x14ac:dyDescent="0.3">
      <c r="A354" s="93" t="s">
        <v>992</v>
      </c>
      <c r="B354" s="94" t="s">
        <v>993</v>
      </c>
      <c r="C354" s="95" t="s">
        <v>963</v>
      </c>
      <c r="D354" s="96">
        <v>1.1419999999999999</v>
      </c>
    </row>
    <row r="355" spans="1:4" x14ac:dyDescent="0.3">
      <c r="A355" s="93" t="s">
        <v>994</v>
      </c>
      <c r="B355" s="94" t="s">
        <v>995</v>
      </c>
      <c r="C355" s="95" t="s">
        <v>963</v>
      </c>
      <c r="D355" s="96">
        <v>1.4259999999999999</v>
      </c>
    </row>
    <row r="356" spans="1:4" x14ac:dyDescent="0.3">
      <c r="A356" s="93" t="s">
        <v>996</v>
      </c>
      <c r="B356" s="94" t="s">
        <v>997</v>
      </c>
      <c r="C356" s="95" t="s">
        <v>963</v>
      </c>
      <c r="D356" s="96">
        <v>1.5029999999999999</v>
      </c>
    </row>
    <row r="357" spans="1:4" x14ac:dyDescent="0.3">
      <c r="A357" s="93" t="s">
        <v>998</v>
      </c>
      <c r="B357" s="94" t="s">
        <v>999</v>
      </c>
      <c r="C357" s="95" t="s">
        <v>963</v>
      </c>
      <c r="D357" s="96">
        <v>3.4969999999999999</v>
      </c>
    </row>
    <row r="358" spans="1:4" x14ac:dyDescent="0.3">
      <c r="A358" s="93" t="s">
        <v>1000</v>
      </c>
      <c r="B358" s="94" t="s">
        <v>1001</v>
      </c>
      <c r="C358" s="95" t="s">
        <v>963</v>
      </c>
      <c r="D358" s="96">
        <v>1.998</v>
      </c>
    </row>
    <row r="359" spans="1:4" ht="27" x14ac:dyDescent="0.3">
      <c r="A359" s="93" t="s">
        <v>1002</v>
      </c>
      <c r="B359" s="94" t="s">
        <v>1003</v>
      </c>
      <c r="C359" s="95" t="s">
        <v>963</v>
      </c>
      <c r="D359" s="96">
        <v>1.3089999999999999</v>
      </c>
    </row>
    <row r="360" spans="1:4" x14ac:dyDescent="0.3">
      <c r="A360" s="93" t="s">
        <v>1004</v>
      </c>
      <c r="B360" s="94" t="s">
        <v>1005</v>
      </c>
      <c r="C360" s="95" t="s">
        <v>963</v>
      </c>
      <c r="D360" s="96">
        <v>3.0019999999999998</v>
      </c>
    </row>
    <row r="361" spans="1:4" x14ac:dyDescent="0.3">
      <c r="A361" s="93" t="s">
        <v>1006</v>
      </c>
      <c r="B361" s="94" t="s">
        <v>1007</v>
      </c>
      <c r="C361" s="95" t="s">
        <v>963</v>
      </c>
      <c r="D361" s="96">
        <v>4.3120000000000003</v>
      </c>
    </row>
    <row r="362" spans="1:4" ht="27" x14ac:dyDescent="0.3">
      <c r="A362" s="93" t="s">
        <v>1008</v>
      </c>
      <c r="B362" s="94" t="s">
        <v>1009</v>
      </c>
      <c r="C362" s="95" t="s">
        <v>963</v>
      </c>
      <c r="D362" s="96">
        <v>2.012</v>
      </c>
    </row>
    <row r="363" spans="1:4" ht="27" x14ac:dyDescent="0.3">
      <c r="A363" s="93" t="s">
        <v>1010</v>
      </c>
      <c r="B363" s="94" t="s">
        <v>1011</v>
      </c>
      <c r="C363" s="95" t="s">
        <v>963</v>
      </c>
      <c r="D363" s="96">
        <v>1.6910000000000001</v>
      </c>
    </row>
    <row r="364" spans="1:4" x14ac:dyDescent="0.3">
      <c r="A364" s="93" t="s">
        <v>1020</v>
      </c>
      <c r="B364" s="94" t="s">
        <v>1021</v>
      </c>
      <c r="C364" s="95" t="s">
        <v>1022</v>
      </c>
      <c r="D364" s="96">
        <v>404.59100000000001</v>
      </c>
    </row>
    <row r="365" spans="1:4" ht="27" x14ac:dyDescent="0.3">
      <c r="A365" s="93" t="s">
        <v>1023</v>
      </c>
      <c r="B365" s="94" t="s">
        <v>1024</v>
      </c>
      <c r="C365" s="95" t="s">
        <v>1025</v>
      </c>
      <c r="D365" s="96">
        <v>20142.37</v>
      </c>
    </row>
    <row r="366" spans="1:4" ht="27" x14ac:dyDescent="0.3">
      <c r="A366" s="93" t="s">
        <v>1026</v>
      </c>
      <c r="B366" s="94" t="s">
        <v>1027</v>
      </c>
      <c r="C366" s="95" t="s">
        <v>273</v>
      </c>
      <c r="D366" s="96">
        <v>200.095</v>
      </c>
    </row>
    <row r="367" spans="1:4" x14ac:dyDescent="0.3">
      <c r="A367" s="97" t="s">
        <v>1028</v>
      </c>
      <c r="B367" s="94" t="s">
        <v>1029</v>
      </c>
      <c r="C367" s="99" t="s">
        <v>318</v>
      </c>
      <c r="D367" s="96">
        <v>490.661</v>
      </c>
    </row>
    <row r="368" spans="1:4" x14ac:dyDescent="0.3">
      <c r="A368" s="97" t="s">
        <v>1030</v>
      </c>
      <c r="B368" s="94" t="s">
        <v>1031</v>
      </c>
      <c r="C368" s="99" t="s">
        <v>1032</v>
      </c>
      <c r="D368" s="96">
        <v>1046.9269999999999</v>
      </c>
    </row>
    <row r="369" spans="1:4" ht="27" x14ac:dyDescent="0.3">
      <c r="A369" s="93" t="s">
        <v>1033</v>
      </c>
      <c r="B369" s="94" t="s">
        <v>1034</v>
      </c>
      <c r="C369" s="95" t="s">
        <v>1035</v>
      </c>
      <c r="D369" s="96">
        <v>79.912000000000006</v>
      </c>
    </row>
    <row r="370" spans="1:4" x14ac:dyDescent="0.3">
      <c r="A370" s="93" t="s">
        <v>1036</v>
      </c>
      <c r="B370" s="94" t="s">
        <v>1037</v>
      </c>
      <c r="C370" s="95" t="s">
        <v>1035</v>
      </c>
      <c r="D370" s="96">
        <v>141.02500000000001</v>
      </c>
    </row>
    <row r="371" spans="1:4" x14ac:dyDescent="0.3">
      <c r="A371" s="93" t="s">
        <v>1587</v>
      </c>
      <c r="B371" s="94" t="s">
        <v>1588</v>
      </c>
      <c r="C371" s="95" t="s">
        <v>1035</v>
      </c>
      <c r="D371" s="96">
        <v>146.91</v>
      </c>
    </row>
    <row r="372" spans="1:4" x14ac:dyDescent="0.3">
      <c r="A372" s="93" t="s">
        <v>1038</v>
      </c>
      <c r="B372" s="94" t="s">
        <v>1039</v>
      </c>
      <c r="C372" s="95" t="s">
        <v>198</v>
      </c>
      <c r="D372" s="96">
        <v>11.863</v>
      </c>
    </row>
    <row r="373" spans="1:4" x14ac:dyDescent="0.3">
      <c r="A373" s="93" t="s">
        <v>1590</v>
      </c>
      <c r="B373" s="94" t="s">
        <v>1591</v>
      </c>
      <c r="C373" s="95" t="s">
        <v>1813</v>
      </c>
      <c r="D373" s="96">
        <v>791.24099999999999</v>
      </c>
    </row>
    <row r="374" spans="1:4" x14ac:dyDescent="0.3">
      <c r="A374" s="93" t="s">
        <v>1040</v>
      </c>
      <c r="B374" s="94" t="s">
        <v>1041</v>
      </c>
      <c r="C374" s="95" t="s">
        <v>1042</v>
      </c>
      <c r="D374" s="96">
        <v>3.1459999999999999</v>
      </c>
    </row>
    <row r="375" spans="1:4" ht="27" x14ac:dyDescent="0.3">
      <c r="A375" s="97" t="s">
        <v>1046</v>
      </c>
      <c r="B375" s="94" t="s">
        <v>1047</v>
      </c>
      <c r="C375" s="99" t="s">
        <v>199</v>
      </c>
      <c r="D375" s="96">
        <v>1.371</v>
      </c>
    </row>
    <row r="376" spans="1:4" x14ac:dyDescent="0.3">
      <c r="A376" s="93" t="s">
        <v>1048</v>
      </c>
      <c r="B376" s="94" t="s">
        <v>1049</v>
      </c>
      <c r="C376" s="95" t="s">
        <v>209</v>
      </c>
      <c r="D376" s="96">
        <v>0.88600000000000001</v>
      </c>
    </row>
    <row r="377" spans="1:4" x14ac:dyDescent="0.3">
      <c r="A377" s="93" t="s">
        <v>1050</v>
      </c>
      <c r="B377" s="94" t="s">
        <v>1051</v>
      </c>
      <c r="C377" s="95" t="s">
        <v>257</v>
      </c>
      <c r="D377" s="96">
        <v>2.4489999999999998</v>
      </c>
    </row>
    <row r="378" spans="1:4" x14ac:dyDescent="0.3">
      <c r="A378" s="97" t="s">
        <v>1052</v>
      </c>
      <c r="B378" s="94" t="s">
        <v>1053</v>
      </c>
      <c r="C378" s="99" t="s">
        <v>458</v>
      </c>
      <c r="D378" s="96">
        <v>1.2869999999999999</v>
      </c>
    </row>
    <row r="379" spans="1:4" ht="27" x14ac:dyDescent="0.3">
      <c r="A379" s="93" t="s">
        <v>1054</v>
      </c>
      <c r="B379" s="94" t="s">
        <v>1055</v>
      </c>
      <c r="C379" s="95" t="s">
        <v>295</v>
      </c>
      <c r="D379" s="96">
        <v>2066.1170000000002</v>
      </c>
    </row>
    <row r="380" spans="1:4" ht="27" x14ac:dyDescent="0.3">
      <c r="A380" s="93" t="s">
        <v>1056</v>
      </c>
      <c r="B380" s="94" t="s">
        <v>1057</v>
      </c>
      <c r="C380" s="95" t="s">
        <v>198</v>
      </c>
      <c r="D380" s="96">
        <v>0.58099999999999996</v>
      </c>
    </row>
    <row r="381" spans="1:4" x14ac:dyDescent="0.3">
      <c r="A381" s="97" t="s">
        <v>1058</v>
      </c>
      <c r="B381" s="94" t="s">
        <v>1059</v>
      </c>
      <c r="C381" s="99" t="s">
        <v>273</v>
      </c>
      <c r="D381" s="96">
        <v>0.46899999999999997</v>
      </c>
    </row>
    <row r="382" spans="1:4" x14ac:dyDescent="0.3">
      <c r="A382" s="93" t="s">
        <v>1060</v>
      </c>
      <c r="B382" s="94" t="s">
        <v>1061</v>
      </c>
      <c r="C382" s="95" t="s">
        <v>513</v>
      </c>
      <c r="D382" s="96">
        <v>0.36899999999999999</v>
      </c>
    </row>
    <row r="383" spans="1:4" x14ac:dyDescent="0.3">
      <c r="A383" s="93" t="s">
        <v>1062</v>
      </c>
      <c r="B383" s="94" t="s">
        <v>1063</v>
      </c>
      <c r="C383" s="95" t="s">
        <v>200</v>
      </c>
      <c r="D383" s="96">
        <v>5.6000000000000001E-2</v>
      </c>
    </row>
    <row r="384" spans="1:4" ht="27" x14ac:dyDescent="0.3">
      <c r="A384" s="93" t="s">
        <v>1064</v>
      </c>
      <c r="B384" s="94" t="s">
        <v>1065</v>
      </c>
      <c r="C384" s="95" t="s">
        <v>553</v>
      </c>
      <c r="D384" s="96">
        <v>731.32399999999996</v>
      </c>
    </row>
    <row r="385" spans="1:4" ht="27" x14ac:dyDescent="0.3">
      <c r="A385" s="93" t="s">
        <v>1066</v>
      </c>
      <c r="B385" s="94" t="s">
        <v>1067</v>
      </c>
      <c r="C385" s="95" t="s">
        <v>198</v>
      </c>
      <c r="D385" s="96">
        <v>1.7999999999999999E-2</v>
      </c>
    </row>
    <row r="386" spans="1:4" x14ac:dyDescent="0.3">
      <c r="A386" s="93" t="s">
        <v>1068</v>
      </c>
      <c r="B386" s="94" t="s">
        <v>1069</v>
      </c>
      <c r="C386" s="95" t="s">
        <v>553</v>
      </c>
      <c r="D386" s="96">
        <v>0.72</v>
      </c>
    </row>
    <row r="387" spans="1:4" ht="27" x14ac:dyDescent="0.3">
      <c r="A387" s="93" t="s">
        <v>1070</v>
      </c>
      <c r="B387" s="94" t="s">
        <v>1071</v>
      </c>
      <c r="C387" s="95" t="s">
        <v>295</v>
      </c>
      <c r="D387" s="96">
        <v>48.893000000000001</v>
      </c>
    </row>
    <row r="388" spans="1:4" x14ac:dyDescent="0.3">
      <c r="A388" s="93" t="s">
        <v>1072</v>
      </c>
      <c r="B388" s="94" t="s">
        <v>1073</v>
      </c>
      <c r="C388" s="95" t="s">
        <v>295</v>
      </c>
      <c r="D388" s="96">
        <v>1.026</v>
      </c>
    </row>
    <row r="389" spans="1:4" x14ac:dyDescent="0.3">
      <c r="A389" s="93" t="s">
        <v>1074</v>
      </c>
      <c r="B389" s="94" t="s">
        <v>1075</v>
      </c>
      <c r="C389" s="95" t="s">
        <v>1076</v>
      </c>
      <c r="D389" s="96">
        <v>3.3559999999999999</v>
      </c>
    </row>
    <row r="390" spans="1:4" x14ac:dyDescent="0.3">
      <c r="A390" s="93" t="s">
        <v>1077</v>
      </c>
      <c r="B390" s="94" t="s">
        <v>1078</v>
      </c>
      <c r="C390" s="95" t="s">
        <v>198</v>
      </c>
      <c r="D390" s="96">
        <v>7.226</v>
      </c>
    </row>
    <row r="391" spans="1:4" x14ac:dyDescent="0.3">
      <c r="A391" s="93" t="s">
        <v>1079</v>
      </c>
      <c r="B391" s="94" t="s">
        <v>1080</v>
      </c>
      <c r="C391" s="95" t="s">
        <v>200</v>
      </c>
      <c r="D391" s="96">
        <v>206.01400000000001</v>
      </c>
    </row>
    <row r="392" spans="1:4" x14ac:dyDescent="0.3">
      <c r="A392" s="93" t="s">
        <v>1081</v>
      </c>
      <c r="B392" s="94" t="s">
        <v>1082</v>
      </c>
      <c r="C392" s="95" t="s">
        <v>458</v>
      </c>
      <c r="D392" s="96">
        <v>8.6210000000000004</v>
      </c>
    </row>
    <row r="393" spans="1:4" ht="27" x14ac:dyDescent="0.3">
      <c r="A393" s="93" t="s">
        <v>1083</v>
      </c>
      <c r="B393" s="94" t="s">
        <v>1084</v>
      </c>
      <c r="C393" s="95" t="s">
        <v>1085</v>
      </c>
      <c r="D393" s="96">
        <v>9.6880000000000006</v>
      </c>
    </row>
    <row r="394" spans="1:4" x14ac:dyDescent="0.3">
      <c r="A394" s="93" t="s">
        <v>1086</v>
      </c>
      <c r="B394" s="94" t="s">
        <v>1087</v>
      </c>
      <c r="C394" s="95" t="s">
        <v>239</v>
      </c>
      <c r="D394" s="96">
        <v>11.316000000000001</v>
      </c>
    </row>
    <row r="395" spans="1:4" ht="27" x14ac:dyDescent="0.3">
      <c r="A395" s="93" t="s">
        <v>1088</v>
      </c>
      <c r="B395" s="94" t="s">
        <v>1089</v>
      </c>
      <c r="C395" s="95" t="s">
        <v>405</v>
      </c>
      <c r="D395" s="96">
        <v>5.0730000000000004</v>
      </c>
    </row>
    <row r="396" spans="1:4" x14ac:dyDescent="0.3">
      <c r="A396" s="93" t="s">
        <v>1090</v>
      </c>
      <c r="B396" s="94" t="s">
        <v>1091</v>
      </c>
      <c r="C396" s="95" t="s">
        <v>198</v>
      </c>
      <c r="D396" s="96">
        <v>0.15</v>
      </c>
    </row>
    <row r="397" spans="1:4" x14ac:dyDescent="0.3">
      <c r="A397" s="93" t="s">
        <v>1092</v>
      </c>
      <c r="B397" s="94" t="s">
        <v>1093</v>
      </c>
      <c r="C397" s="95" t="s">
        <v>396</v>
      </c>
      <c r="D397" s="96">
        <v>0.215</v>
      </c>
    </row>
    <row r="398" spans="1:4" x14ac:dyDescent="0.3">
      <c r="A398" s="93" t="s">
        <v>1094</v>
      </c>
      <c r="B398" s="94" t="s">
        <v>1095</v>
      </c>
      <c r="C398" s="95" t="s">
        <v>198</v>
      </c>
      <c r="D398" s="96">
        <v>4.2999999999999997E-2</v>
      </c>
    </row>
    <row r="399" spans="1:4" x14ac:dyDescent="0.3">
      <c r="A399" s="93" t="s">
        <v>1096</v>
      </c>
      <c r="B399" s="94" t="s">
        <v>1097</v>
      </c>
      <c r="C399" s="95" t="s">
        <v>396</v>
      </c>
      <c r="D399" s="96">
        <v>6.0999999999999999E-2</v>
      </c>
    </row>
    <row r="400" spans="1:4" ht="27" x14ac:dyDescent="0.3">
      <c r="A400" s="93" t="s">
        <v>1098</v>
      </c>
      <c r="B400" s="94" t="s">
        <v>1099</v>
      </c>
      <c r="C400" s="95" t="s">
        <v>1100</v>
      </c>
      <c r="D400" s="96">
        <v>0.13600000000000001</v>
      </c>
    </row>
    <row r="401" spans="1:4" x14ac:dyDescent="0.3">
      <c r="A401" s="93" t="s">
        <v>1101</v>
      </c>
      <c r="B401" s="94" t="s">
        <v>1102</v>
      </c>
      <c r="C401" s="95" t="s">
        <v>396</v>
      </c>
      <c r="D401" s="96">
        <v>2.2370000000000001</v>
      </c>
    </row>
    <row r="402" spans="1:4" ht="27" x14ac:dyDescent="0.3">
      <c r="A402" s="93" t="s">
        <v>1103</v>
      </c>
      <c r="B402" s="94" t="s">
        <v>1104</v>
      </c>
      <c r="C402" s="95" t="s">
        <v>199</v>
      </c>
      <c r="D402" s="96">
        <v>5.5830000000000002</v>
      </c>
    </row>
    <row r="403" spans="1:4" ht="27" x14ac:dyDescent="0.3">
      <c r="A403" s="93" t="s">
        <v>1105</v>
      </c>
      <c r="B403" s="94" t="s">
        <v>1106</v>
      </c>
      <c r="C403" s="95" t="s">
        <v>198</v>
      </c>
      <c r="D403" s="96">
        <v>47.79</v>
      </c>
    </row>
    <row r="404" spans="1:4" ht="27" x14ac:dyDescent="0.3">
      <c r="A404" s="93" t="s">
        <v>1107</v>
      </c>
      <c r="B404" s="94" t="s">
        <v>1108</v>
      </c>
      <c r="C404" s="95" t="s">
        <v>198</v>
      </c>
      <c r="D404" s="96">
        <v>0.20599999999999999</v>
      </c>
    </row>
    <row r="405" spans="1:4" x14ac:dyDescent="0.3">
      <c r="A405" s="93" t="s">
        <v>1109</v>
      </c>
      <c r="B405" s="94" t="s">
        <v>1110</v>
      </c>
      <c r="C405" s="95" t="s">
        <v>198</v>
      </c>
      <c r="D405" s="96">
        <v>0.68300000000000005</v>
      </c>
    </row>
    <row r="406" spans="1:4" x14ac:dyDescent="0.3">
      <c r="A406" s="93" t="s">
        <v>1111</v>
      </c>
      <c r="B406" s="94" t="s">
        <v>1112</v>
      </c>
      <c r="C406" s="95" t="s">
        <v>683</v>
      </c>
      <c r="D406" s="96">
        <v>39.671999999999997</v>
      </c>
    </row>
    <row r="407" spans="1:4" x14ac:dyDescent="0.3">
      <c r="A407" s="93" t="s">
        <v>1113</v>
      </c>
      <c r="B407" s="94" t="s">
        <v>1114</v>
      </c>
      <c r="C407" s="95" t="s">
        <v>1115</v>
      </c>
      <c r="D407" s="96">
        <v>584.32500000000005</v>
      </c>
    </row>
    <row r="408" spans="1:4" x14ac:dyDescent="0.3">
      <c r="A408" s="93" t="s">
        <v>1116</v>
      </c>
      <c r="B408" s="94" t="s">
        <v>1117</v>
      </c>
      <c r="C408" s="95" t="s">
        <v>200</v>
      </c>
      <c r="D408" s="96">
        <v>5.8019999999999996</v>
      </c>
    </row>
    <row r="409" spans="1:4" x14ac:dyDescent="0.3">
      <c r="A409" s="93" t="s">
        <v>1118</v>
      </c>
      <c r="B409" s="94" t="s">
        <v>1119</v>
      </c>
      <c r="C409" s="95" t="s">
        <v>688</v>
      </c>
      <c r="D409" s="96">
        <v>24.128</v>
      </c>
    </row>
    <row r="410" spans="1:4" x14ac:dyDescent="0.3">
      <c r="A410" s="93" t="s">
        <v>1120</v>
      </c>
      <c r="B410" s="94" t="s">
        <v>1121</v>
      </c>
      <c r="C410" s="95" t="s">
        <v>445</v>
      </c>
      <c r="D410" s="96">
        <v>1.155</v>
      </c>
    </row>
    <row r="411" spans="1:4" x14ac:dyDescent="0.3">
      <c r="A411" s="93" t="s">
        <v>1122</v>
      </c>
      <c r="B411" s="94" t="s">
        <v>1123</v>
      </c>
      <c r="C411" s="95" t="s">
        <v>284</v>
      </c>
      <c r="D411" s="96">
        <v>3.6739999999999999</v>
      </c>
    </row>
    <row r="412" spans="1:4" ht="27" x14ac:dyDescent="0.3">
      <c r="A412" s="93" t="s">
        <v>1124</v>
      </c>
      <c r="B412" s="94" t="s">
        <v>1125</v>
      </c>
      <c r="C412" s="95" t="s">
        <v>553</v>
      </c>
      <c r="D412" s="96">
        <v>4.54</v>
      </c>
    </row>
    <row r="413" spans="1:4" x14ac:dyDescent="0.3">
      <c r="A413" s="93" t="s">
        <v>1126</v>
      </c>
      <c r="B413" s="94" t="s">
        <v>1127</v>
      </c>
      <c r="C413" s="95" t="s">
        <v>458</v>
      </c>
      <c r="D413" s="96">
        <v>6.2E-2</v>
      </c>
    </row>
    <row r="414" spans="1:4" x14ac:dyDescent="0.3">
      <c r="A414" s="93" t="s">
        <v>1128</v>
      </c>
      <c r="B414" s="94" t="s">
        <v>1129</v>
      </c>
      <c r="C414" s="95" t="s">
        <v>209</v>
      </c>
      <c r="D414" s="96">
        <v>75.760999999999996</v>
      </c>
    </row>
    <row r="415" spans="1:4" x14ac:dyDescent="0.3">
      <c r="A415" s="93" t="s">
        <v>1130</v>
      </c>
      <c r="B415" s="94" t="s">
        <v>1131</v>
      </c>
      <c r="C415" s="95" t="s">
        <v>688</v>
      </c>
      <c r="D415" s="96">
        <v>11.999624000000001</v>
      </c>
    </row>
    <row r="416" spans="1:4" x14ac:dyDescent="0.3">
      <c r="A416" s="93" t="s">
        <v>1132</v>
      </c>
      <c r="B416" s="94" t="s">
        <v>1133</v>
      </c>
      <c r="C416" s="95" t="s">
        <v>1134</v>
      </c>
      <c r="D416" s="96">
        <v>0.38400000000000001</v>
      </c>
    </row>
    <row r="417" spans="1:4" ht="27" x14ac:dyDescent="0.3">
      <c r="A417" s="97" t="s">
        <v>1135</v>
      </c>
      <c r="B417" s="94" t="s">
        <v>1136</v>
      </c>
      <c r="C417" s="99" t="s">
        <v>396</v>
      </c>
      <c r="D417" s="96">
        <v>282.827</v>
      </c>
    </row>
    <row r="418" spans="1:4" x14ac:dyDescent="0.3">
      <c r="A418" s="93" t="s">
        <v>1137</v>
      </c>
      <c r="B418" s="94" t="s">
        <v>1138</v>
      </c>
      <c r="C418" s="95" t="s">
        <v>198</v>
      </c>
      <c r="D418" s="96">
        <v>1.3069999999999999</v>
      </c>
    </row>
    <row r="419" spans="1:4" x14ac:dyDescent="0.3">
      <c r="A419" s="93" t="s">
        <v>1139</v>
      </c>
      <c r="B419" s="94" t="s">
        <v>1140</v>
      </c>
      <c r="C419" s="102" t="s">
        <v>200</v>
      </c>
      <c r="D419" s="96">
        <v>0.86699999999999999</v>
      </c>
    </row>
    <row r="420" spans="1:4" x14ac:dyDescent="0.3">
      <c r="A420" s="93" t="s">
        <v>1141</v>
      </c>
      <c r="B420" s="94" t="s">
        <v>1142</v>
      </c>
      <c r="C420" s="95" t="s">
        <v>1143</v>
      </c>
      <c r="D420" s="96">
        <v>103.554</v>
      </c>
    </row>
    <row r="421" spans="1:4" x14ac:dyDescent="0.3">
      <c r="A421" s="93" t="s">
        <v>1144</v>
      </c>
      <c r="B421" s="94" t="s">
        <v>1145</v>
      </c>
      <c r="C421" s="95" t="s">
        <v>199</v>
      </c>
      <c r="D421" s="96">
        <v>3.0630000000000002</v>
      </c>
    </row>
    <row r="422" spans="1:4" x14ac:dyDescent="0.3">
      <c r="A422" s="93" t="s">
        <v>1146</v>
      </c>
      <c r="B422" s="94" t="s">
        <v>1147</v>
      </c>
      <c r="C422" s="95" t="s">
        <v>198</v>
      </c>
      <c r="D422" s="96">
        <v>76.91</v>
      </c>
    </row>
    <row r="423" spans="1:4" x14ac:dyDescent="0.3">
      <c r="A423" s="93" t="s">
        <v>1148</v>
      </c>
      <c r="B423" s="94" t="s">
        <v>1149</v>
      </c>
      <c r="C423" s="95" t="s">
        <v>1150</v>
      </c>
      <c r="D423" s="96">
        <v>414.82400000000001</v>
      </c>
    </row>
    <row r="424" spans="1:4" x14ac:dyDescent="0.3">
      <c r="A424" s="93" t="s">
        <v>1151</v>
      </c>
      <c r="B424" s="94" t="s">
        <v>1152</v>
      </c>
      <c r="C424" s="95" t="s">
        <v>199</v>
      </c>
      <c r="D424" s="96">
        <v>77.759</v>
      </c>
    </row>
    <row r="425" spans="1:4" x14ac:dyDescent="0.3">
      <c r="A425" s="93" t="s">
        <v>1153</v>
      </c>
      <c r="B425" s="94" t="s">
        <v>1154</v>
      </c>
      <c r="C425" s="95" t="s">
        <v>199</v>
      </c>
      <c r="D425" s="96">
        <v>81.808000000000007</v>
      </c>
    </row>
    <row r="426" spans="1:4" x14ac:dyDescent="0.3">
      <c r="A426" s="93" t="s">
        <v>1155</v>
      </c>
      <c r="B426" s="94" t="s">
        <v>1156</v>
      </c>
      <c r="C426" s="95" t="s">
        <v>198</v>
      </c>
      <c r="D426" s="96">
        <v>1.3089999999999999</v>
      </c>
    </row>
    <row r="427" spans="1:4" x14ac:dyDescent="0.3">
      <c r="A427" s="93" t="s">
        <v>1157</v>
      </c>
      <c r="B427" s="94" t="s">
        <v>1158</v>
      </c>
      <c r="C427" s="95" t="s">
        <v>198</v>
      </c>
      <c r="D427" s="96">
        <v>94.927999999999997</v>
      </c>
    </row>
    <row r="428" spans="1:4" x14ac:dyDescent="0.3">
      <c r="A428" s="93" t="s">
        <v>1814</v>
      </c>
      <c r="B428" s="94" t="s">
        <v>1815</v>
      </c>
      <c r="C428" s="95" t="s">
        <v>1274</v>
      </c>
      <c r="D428" s="96">
        <v>140.25700000000001</v>
      </c>
    </row>
    <row r="429" spans="1:4" x14ac:dyDescent="0.3">
      <c r="A429" s="97" t="s">
        <v>1161</v>
      </c>
      <c r="B429" s="94" t="s">
        <v>1162</v>
      </c>
      <c r="C429" s="99" t="s">
        <v>199</v>
      </c>
      <c r="D429" s="96">
        <v>38.24</v>
      </c>
    </row>
    <row r="430" spans="1:4" x14ac:dyDescent="0.3">
      <c r="A430" s="93" t="s">
        <v>1163</v>
      </c>
      <c r="B430" s="94" t="s">
        <v>1164</v>
      </c>
      <c r="C430" s="95" t="s">
        <v>198</v>
      </c>
      <c r="D430" s="96">
        <v>30.268000000000001</v>
      </c>
    </row>
    <row r="431" spans="1:4" x14ac:dyDescent="0.3">
      <c r="A431" s="93" t="s">
        <v>1165</v>
      </c>
      <c r="B431" s="94" t="s">
        <v>1166</v>
      </c>
      <c r="C431" s="95" t="s">
        <v>198</v>
      </c>
      <c r="D431" s="96">
        <v>23.831</v>
      </c>
    </row>
    <row r="432" spans="1:4" x14ac:dyDescent="0.3">
      <c r="A432" s="93" t="s">
        <v>1167</v>
      </c>
      <c r="B432" s="94" t="s">
        <v>1168</v>
      </c>
      <c r="C432" s="95" t="s">
        <v>199</v>
      </c>
      <c r="D432" s="96">
        <v>81.179000000000002</v>
      </c>
    </row>
    <row r="433" spans="1:4" x14ac:dyDescent="0.3">
      <c r="A433" s="93" t="s">
        <v>1171</v>
      </c>
      <c r="B433" s="94" t="s">
        <v>1172</v>
      </c>
      <c r="C433" s="95" t="s">
        <v>452</v>
      </c>
      <c r="D433" s="96">
        <v>110.15300000000001</v>
      </c>
    </row>
    <row r="434" spans="1:4" x14ac:dyDescent="0.3">
      <c r="A434" s="93" t="s">
        <v>1173</v>
      </c>
      <c r="B434" s="94" t="s">
        <v>1174</v>
      </c>
      <c r="C434" s="95" t="s">
        <v>1175</v>
      </c>
      <c r="D434" s="96">
        <v>28.774999999999999</v>
      </c>
    </row>
    <row r="435" spans="1:4" x14ac:dyDescent="0.3">
      <c r="A435" s="93" t="s">
        <v>1176</v>
      </c>
      <c r="B435" s="94" t="s">
        <v>1177</v>
      </c>
      <c r="C435" s="95" t="s">
        <v>273</v>
      </c>
      <c r="D435" s="96">
        <v>45.613999999999997</v>
      </c>
    </row>
    <row r="436" spans="1:4" x14ac:dyDescent="0.3">
      <c r="A436" s="93" t="s">
        <v>1178</v>
      </c>
      <c r="B436" s="94" t="s">
        <v>1179</v>
      </c>
      <c r="C436" s="95" t="s">
        <v>198</v>
      </c>
      <c r="D436" s="96">
        <v>156.72200000000001</v>
      </c>
    </row>
    <row r="437" spans="1:4" x14ac:dyDescent="0.3">
      <c r="A437" s="93" t="s">
        <v>1180</v>
      </c>
      <c r="B437" s="94" t="s">
        <v>1181</v>
      </c>
      <c r="C437" s="95" t="s">
        <v>198</v>
      </c>
      <c r="D437" s="96">
        <v>168.31200000000001</v>
      </c>
    </row>
    <row r="438" spans="1:4" ht="27" x14ac:dyDescent="0.3">
      <c r="A438" s="97" t="s">
        <v>1182</v>
      </c>
      <c r="B438" s="94" t="s">
        <v>1183</v>
      </c>
      <c r="C438" s="99" t="s">
        <v>273</v>
      </c>
      <c r="D438" s="96">
        <v>35.667000000000002</v>
      </c>
    </row>
    <row r="439" spans="1:4" x14ac:dyDescent="0.3">
      <c r="A439" s="93" t="s">
        <v>1184</v>
      </c>
      <c r="B439" s="94" t="s">
        <v>1185</v>
      </c>
      <c r="C439" s="95" t="s">
        <v>209</v>
      </c>
      <c r="D439" s="96">
        <v>3.2519999999999998</v>
      </c>
    </row>
    <row r="440" spans="1:4" x14ac:dyDescent="0.3">
      <c r="A440" s="97" t="s">
        <v>1186</v>
      </c>
      <c r="B440" s="94" t="s">
        <v>1187</v>
      </c>
      <c r="C440" s="99" t="s">
        <v>198</v>
      </c>
      <c r="D440" s="96">
        <v>36.299999999999997</v>
      </c>
    </row>
    <row r="441" spans="1:4" x14ac:dyDescent="0.3">
      <c r="A441" s="93" t="s">
        <v>1188</v>
      </c>
      <c r="B441" s="94" t="s">
        <v>1189</v>
      </c>
      <c r="C441" s="95" t="s">
        <v>257</v>
      </c>
      <c r="D441" s="96">
        <v>4052.346</v>
      </c>
    </row>
    <row r="442" spans="1:4" x14ac:dyDescent="0.3">
      <c r="A442" s="93" t="s">
        <v>1190</v>
      </c>
      <c r="B442" s="94" t="s">
        <v>1191</v>
      </c>
      <c r="C442" s="95" t="s">
        <v>199</v>
      </c>
      <c r="D442" s="96">
        <v>60.573</v>
      </c>
    </row>
    <row r="443" spans="1:4" x14ac:dyDescent="0.3">
      <c r="A443" s="93" t="s">
        <v>1192</v>
      </c>
      <c r="B443" s="94" t="s">
        <v>1193</v>
      </c>
      <c r="C443" s="95" t="s">
        <v>199</v>
      </c>
      <c r="D443" s="96">
        <v>1.847</v>
      </c>
    </row>
    <row r="444" spans="1:4" x14ac:dyDescent="0.3">
      <c r="A444" s="93" t="s">
        <v>1194</v>
      </c>
      <c r="B444" s="94" t="s">
        <v>1195</v>
      </c>
      <c r="C444" s="95" t="s">
        <v>198</v>
      </c>
      <c r="D444" s="96">
        <v>21.876000000000001</v>
      </c>
    </row>
    <row r="445" spans="1:4" ht="27" x14ac:dyDescent="0.3">
      <c r="A445" s="93" t="s">
        <v>1196</v>
      </c>
      <c r="B445" s="94" t="s">
        <v>1197</v>
      </c>
      <c r="C445" s="95" t="s">
        <v>257</v>
      </c>
      <c r="D445" s="96">
        <v>37.822000000000003</v>
      </c>
    </row>
    <row r="446" spans="1:4" x14ac:dyDescent="0.3">
      <c r="A446" s="93" t="s">
        <v>1816</v>
      </c>
      <c r="B446" s="94" t="s">
        <v>1817</v>
      </c>
      <c r="C446" s="95" t="s">
        <v>199</v>
      </c>
      <c r="D446" s="96">
        <v>628.36799999999994</v>
      </c>
    </row>
    <row r="447" spans="1:4" x14ac:dyDescent="0.3">
      <c r="A447" s="93" t="s">
        <v>1198</v>
      </c>
      <c r="B447" s="94" t="s">
        <v>1199</v>
      </c>
      <c r="C447" s="95" t="s">
        <v>257</v>
      </c>
      <c r="D447" s="96">
        <v>0.76600000000000001</v>
      </c>
    </row>
    <row r="448" spans="1:4" x14ac:dyDescent="0.3">
      <c r="A448" s="93" t="s">
        <v>1200</v>
      </c>
      <c r="B448" s="94" t="s">
        <v>1201</v>
      </c>
      <c r="C448" s="95" t="s">
        <v>396</v>
      </c>
      <c r="D448" s="96">
        <v>1455.383</v>
      </c>
    </row>
    <row r="449" spans="1:4" x14ac:dyDescent="0.3">
      <c r="A449" s="93" t="s">
        <v>1202</v>
      </c>
      <c r="B449" s="94" t="s">
        <v>1203</v>
      </c>
      <c r="C449" s="95" t="s">
        <v>257</v>
      </c>
      <c r="D449" s="96">
        <v>4.6710000000000003</v>
      </c>
    </row>
    <row r="450" spans="1:4" ht="27" x14ac:dyDescent="0.3">
      <c r="A450" s="93" t="s">
        <v>1204</v>
      </c>
      <c r="B450" s="94" t="s">
        <v>1205</v>
      </c>
      <c r="C450" s="95" t="s">
        <v>199</v>
      </c>
      <c r="D450" s="96">
        <v>52.304000000000002</v>
      </c>
    </row>
    <row r="451" spans="1:4" x14ac:dyDescent="0.3">
      <c r="A451" s="93" t="s">
        <v>1206</v>
      </c>
      <c r="B451" s="94" t="s">
        <v>1207</v>
      </c>
      <c r="C451" s="95" t="s">
        <v>199</v>
      </c>
      <c r="D451" s="96">
        <v>48.173000000000002</v>
      </c>
    </row>
    <row r="452" spans="1:4" ht="27" x14ac:dyDescent="0.3">
      <c r="A452" s="97" t="s">
        <v>1208</v>
      </c>
      <c r="B452" s="94" t="s">
        <v>1209</v>
      </c>
      <c r="C452" s="99" t="s">
        <v>1210</v>
      </c>
      <c r="D452" s="96">
        <v>190.31700000000001</v>
      </c>
    </row>
    <row r="453" spans="1:4" x14ac:dyDescent="0.3">
      <c r="A453" s="100" t="s">
        <v>1211</v>
      </c>
      <c r="B453" s="94" t="s">
        <v>1212</v>
      </c>
      <c r="C453" s="95" t="s">
        <v>198</v>
      </c>
      <c r="D453" s="96">
        <v>3.8039999999999998</v>
      </c>
    </row>
    <row r="454" spans="1:4" x14ac:dyDescent="0.3">
      <c r="A454" s="93" t="s">
        <v>192</v>
      </c>
      <c r="B454" s="94" t="s">
        <v>1213</v>
      </c>
      <c r="C454" s="95" t="s">
        <v>198</v>
      </c>
      <c r="D454" s="96">
        <v>1.345</v>
      </c>
    </row>
    <row r="455" spans="1:4" x14ac:dyDescent="0.3">
      <c r="A455" s="93" t="s">
        <v>1216</v>
      </c>
      <c r="B455" s="94" t="s">
        <v>1217</v>
      </c>
      <c r="C455" s="95" t="s">
        <v>198</v>
      </c>
      <c r="D455" s="96">
        <v>6.4039999999999999</v>
      </c>
    </row>
    <row r="456" spans="1:4" x14ac:dyDescent="0.3">
      <c r="A456" s="93" t="s">
        <v>195</v>
      </c>
      <c r="B456" s="94" t="s">
        <v>1218</v>
      </c>
      <c r="C456" s="95" t="s">
        <v>688</v>
      </c>
      <c r="D456" s="96">
        <v>1.1870000000000001</v>
      </c>
    </row>
    <row r="457" spans="1:4" x14ac:dyDescent="0.3">
      <c r="A457" s="93" t="s">
        <v>1219</v>
      </c>
      <c r="B457" s="94" t="s">
        <v>1220</v>
      </c>
      <c r="C457" s="95" t="s">
        <v>273</v>
      </c>
      <c r="D457" s="96">
        <v>115.309</v>
      </c>
    </row>
    <row r="458" spans="1:4" x14ac:dyDescent="0.3">
      <c r="A458" s="93" t="s">
        <v>1221</v>
      </c>
      <c r="B458" s="94" t="s">
        <v>1222</v>
      </c>
      <c r="C458" s="95" t="s">
        <v>199</v>
      </c>
      <c r="D458" s="96">
        <v>0.69599999999999995</v>
      </c>
    </row>
    <row r="459" spans="1:4" x14ac:dyDescent="0.3">
      <c r="A459" s="93" t="s">
        <v>1223</v>
      </c>
      <c r="B459" s="94" t="s">
        <v>1224</v>
      </c>
      <c r="C459" s="95" t="s">
        <v>209</v>
      </c>
      <c r="D459" s="96">
        <v>79.513000000000005</v>
      </c>
    </row>
    <row r="460" spans="1:4" x14ac:dyDescent="0.3">
      <c r="A460" s="93" t="s">
        <v>1225</v>
      </c>
      <c r="B460" s="94" t="s">
        <v>1226</v>
      </c>
      <c r="C460" s="95" t="s">
        <v>284</v>
      </c>
      <c r="D460" s="96">
        <v>1.7909999999999999</v>
      </c>
    </row>
    <row r="461" spans="1:4" x14ac:dyDescent="0.3">
      <c r="A461" s="93" t="s">
        <v>1227</v>
      </c>
      <c r="B461" s="94" t="s">
        <v>1228</v>
      </c>
      <c r="C461" s="95" t="s">
        <v>284</v>
      </c>
      <c r="D461" s="96">
        <v>75.588999999999999</v>
      </c>
    </row>
    <row r="462" spans="1:4" x14ac:dyDescent="0.3">
      <c r="A462" s="93" t="s">
        <v>1229</v>
      </c>
      <c r="B462" s="94" t="s">
        <v>1230</v>
      </c>
      <c r="C462" s="95" t="s">
        <v>442</v>
      </c>
      <c r="D462" s="96">
        <v>5.9279999999999999</v>
      </c>
    </row>
    <row r="463" spans="1:4" x14ac:dyDescent="0.3">
      <c r="A463" s="93" t="s">
        <v>1231</v>
      </c>
      <c r="B463" s="94" t="s">
        <v>1232</v>
      </c>
      <c r="C463" s="95" t="s">
        <v>1233</v>
      </c>
      <c r="D463" s="96">
        <v>501.20499999999998</v>
      </c>
    </row>
    <row r="464" spans="1:4" ht="27" x14ac:dyDescent="0.3">
      <c r="A464" s="93" t="s">
        <v>1234</v>
      </c>
      <c r="B464" s="94" t="s">
        <v>1235</v>
      </c>
      <c r="C464" s="95" t="s">
        <v>198</v>
      </c>
      <c r="D464" s="96">
        <v>45.649000000000001</v>
      </c>
    </row>
    <row r="465" spans="1:4" x14ac:dyDescent="0.3">
      <c r="A465" s="93" t="s">
        <v>1236</v>
      </c>
      <c r="B465" s="94" t="s">
        <v>1237</v>
      </c>
      <c r="C465" s="95" t="s">
        <v>311</v>
      </c>
      <c r="D465" s="96">
        <v>2.8639999999999999</v>
      </c>
    </row>
    <row r="466" spans="1:4" x14ac:dyDescent="0.3">
      <c r="A466" s="93" t="s">
        <v>1238</v>
      </c>
      <c r="B466" s="94" t="s">
        <v>1239</v>
      </c>
      <c r="C466" s="95" t="s">
        <v>198</v>
      </c>
      <c r="D466" s="96">
        <v>76.894999999999996</v>
      </c>
    </row>
    <row r="467" spans="1:4" x14ac:dyDescent="0.3">
      <c r="A467" s="93" t="s">
        <v>1240</v>
      </c>
      <c r="B467" s="94" t="s">
        <v>1241</v>
      </c>
      <c r="C467" s="95" t="s">
        <v>405</v>
      </c>
      <c r="D467" s="96">
        <v>25.446999999999999</v>
      </c>
    </row>
    <row r="468" spans="1:4" x14ac:dyDescent="0.3">
      <c r="A468" s="93" t="s">
        <v>1242</v>
      </c>
      <c r="B468" s="94" t="s">
        <v>1243</v>
      </c>
      <c r="C468" s="95" t="s">
        <v>442</v>
      </c>
      <c r="D468" s="96">
        <v>2.097</v>
      </c>
    </row>
    <row r="469" spans="1:4" x14ac:dyDescent="0.3">
      <c r="A469" s="93" t="s">
        <v>1244</v>
      </c>
      <c r="B469" s="94" t="s">
        <v>1245</v>
      </c>
      <c r="C469" s="95" t="s">
        <v>200</v>
      </c>
      <c r="D469" s="96">
        <v>32.795999999999999</v>
      </c>
    </row>
    <row r="470" spans="1:4" x14ac:dyDescent="0.3">
      <c r="A470" s="93" t="s">
        <v>1246</v>
      </c>
      <c r="B470" s="94" t="s">
        <v>1247</v>
      </c>
      <c r="C470" s="95" t="s">
        <v>1248</v>
      </c>
      <c r="D470" s="96">
        <v>34.031999999999996</v>
      </c>
    </row>
    <row r="471" spans="1:4" ht="27" x14ac:dyDescent="0.3">
      <c r="A471" s="93" t="s">
        <v>1249</v>
      </c>
      <c r="B471" s="94" t="s">
        <v>1250</v>
      </c>
      <c r="C471" s="95" t="s">
        <v>1251</v>
      </c>
      <c r="D471" s="96">
        <v>236.154</v>
      </c>
    </row>
    <row r="472" spans="1:4" ht="27" x14ac:dyDescent="0.3">
      <c r="A472" s="93" t="s">
        <v>1252</v>
      </c>
      <c r="B472" s="94" t="s">
        <v>1253</v>
      </c>
      <c r="C472" s="95" t="s">
        <v>198</v>
      </c>
      <c r="D472" s="96">
        <v>20.491</v>
      </c>
    </row>
    <row r="473" spans="1:4" x14ac:dyDescent="0.3">
      <c r="A473" s="93" t="s">
        <v>1254</v>
      </c>
      <c r="B473" s="94" t="s">
        <v>1255</v>
      </c>
      <c r="C473" s="95" t="s">
        <v>209</v>
      </c>
      <c r="D473" s="96">
        <v>3659.7249999999999</v>
      </c>
    </row>
    <row r="474" spans="1:4" x14ac:dyDescent="0.3">
      <c r="A474" s="93" t="s">
        <v>1256</v>
      </c>
      <c r="B474" s="94" t="s">
        <v>1257</v>
      </c>
      <c r="C474" s="95" t="s">
        <v>209</v>
      </c>
      <c r="D474" s="96">
        <v>31864.232</v>
      </c>
    </row>
    <row r="475" spans="1:4" x14ac:dyDescent="0.3">
      <c r="A475" s="93" t="s">
        <v>1258</v>
      </c>
      <c r="B475" s="94" t="s">
        <v>1259</v>
      </c>
      <c r="C475" s="95" t="s">
        <v>198</v>
      </c>
      <c r="D475" s="96">
        <v>150.90299999999999</v>
      </c>
    </row>
    <row r="476" spans="1:4" x14ac:dyDescent="0.3">
      <c r="A476" s="93" t="s">
        <v>1545</v>
      </c>
      <c r="B476" s="94" t="s">
        <v>1818</v>
      </c>
      <c r="C476" s="95" t="s">
        <v>199</v>
      </c>
      <c r="D476" s="96">
        <v>320.08600000000001</v>
      </c>
    </row>
    <row r="477" spans="1:4" ht="27" x14ac:dyDescent="0.3">
      <c r="A477" s="93" t="s">
        <v>1260</v>
      </c>
      <c r="B477" s="94" t="s">
        <v>1261</v>
      </c>
      <c r="C477" s="95" t="s">
        <v>209</v>
      </c>
      <c r="D477" s="96">
        <v>804.63400000000001</v>
      </c>
    </row>
    <row r="478" spans="1:4" x14ac:dyDescent="0.3">
      <c r="A478" s="93" t="s">
        <v>193</v>
      </c>
      <c r="B478" s="94" t="s">
        <v>1262</v>
      </c>
      <c r="C478" s="95" t="s">
        <v>200</v>
      </c>
      <c r="D478" s="96">
        <v>0.252</v>
      </c>
    </row>
    <row r="479" spans="1:4" x14ac:dyDescent="0.3">
      <c r="A479" s="93" t="s">
        <v>1263</v>
      </c>
      <c r="B479" s="94" t="s">
        <v>1262</v>
      </c>
      <c r="C479" s="95" t="s">
        <v>209</v>
      </c>
      <c r="D479" s="96">
        <v>2.5190000000000001</v>
      </c>
    </row>
    <row r="480" spans="1:4" x14ac:dyDescent="0.3">
      <c r="A480" s="93" t="s">
        <v>1264</v>
      </c>
      <c r="B480" s="94" t="s">
        <v>1265</v>
      </c>
      <c r="C480" s="95" t="s">
        <v>209</v>
      </c>
      <c r="D480" s="96">
        <v>152.023</v>
      </c>
    </row>
    <row r="481" spans="1:4" x14ac:dyDescent="0.3">
      <c r="A481" s="93" t="s">
        <v>1268</v>
      </c>
      <c r="B481" s="94" t="s">
        <v>1269</v>
      </c>
      <c r="C481" s="95" t="s">
        <v>396</v>
      </c>
      <c r="D481" s="96">
        <v>0.187</v>
      </c>
    </row>
    <row r="482" spans="1:4" x14ac:dyDescent="0.3">
      <c r="A482" s="93" t="s">
        <v>1270</v>
      </c>
      <c r="B482" s="94" t="s">
        <v>1271</v>
      </c>
      <c r="C482" s="95" t="s">
        <v>198</v>
      </c>
      <c r="D482" s="96">
        <v>11.866</v>
      </c>
    </row>
    <row r="483" spans="1:4" x14ac:dyDescent="0.3">
      <c r="A483" s="93" t="s">
        <v>1272</v>
      </c>
      <c r="B483" s="94" t="s">
        <v>1273</v>
      </c>
      <c r="C483" s="95" t="s">
        <v>1274</v>
      </c>
      <c r="D483" s="96">
        <v>15061.171</v>
      </c>
    </row>
    <row r="484" spans="1:4" x14ac:dyDescent="0.3">
      <c r="A484" s="93" t="s">
        <v>1275</v>
      </c>
      <c r="B484" s="94" t="s">
        <v>1276</v>
      </c>
      <c r="C484" s="95" t="s">
        <v>198</v>
      </c>
      <c r="D484" s="96">
        <v>0.154</v>
      </c>
    </row>
    <row r="485" spans="1:4" x14ac:dyDescent="0.3">
      <c r="A485" s="93" t="s">
        <v>1277</v>
      </c>
      <c r="B485" s="94" t="s">
        <v>1278</v>
      </c>
      <c r="C485" s="95" t="s">
        <v>199</v>
      </c>
      <c r="D485" s="96">
        <v>2017.3320000000001</v>
      </c>
    </row>
    <row r="486" spans="1:4" x14ac:dyDescent="0.3">
      <c r="A486" s="97" t="s">
        <v>1279</v>
      </c>
      <c r="B486" s="94" t="s">
        <v>1280</v>
      </c>
      <c r="C486" s="99" t="s">
        <v>198</v>
      </c>
      <c r="D486" s="96">
        <v>48.987000000000002</v>
      </c>
    </row>
    <row r="487" spans="1:4" x14ac:dyDescent="0.3">
      <c r="A487" s="93" t="s">
        <v>1281</v>
      </c>
      <c r="B487" s="94" t="s">
        <v>1282</v>
      </c>
      <c r="C487" s="95" t="s">
        <v>200</v>
      </c>
      <c r="D487" s="96">
        <v>125.07299999999999</v>
      </c>
    </row>
    <row r="488" spans="1:4" x14ac:dyDescent="0.3">
      <c r="A488" s="93" t="s">
        <v>1283</v>
      </c>
      <c r="B488" s="94" t="s">
        <v>1284</v>
      </c>
      <c r="C488" s="95" t="s">
        <v>199</v>
      </c>
      <c r="D488" s="96">
        <v>51.039000000000001</v>
      </c>
    </row>
    <row r="489" spans="1:4" ht="27" x14ac:dyDescent="0.3">
      <c r="A489" s="93" t="s">
        <v>1285</v>
      </c>
      <c r="B489" s="94" t="s">
        <v>1286</v>
      </c>
      <c r="C489" s="95" t="s">
        <v>200</v>
      </c>
      <c r="D489" s="96">
        <v>27.582000000000001</v>
      </c>
    </row>
    <row r="490" spans="1:4" ht="27" x14ac:dyDescent="0.3">
      <c r="A490" s="93" t="s">
        <v>1287</v>
      </c>
      <c r="B490" s="94" t="s">
        <v>1288</v>
      </c>
      <c r="C490" s="99" t="s">
        <v>198</v>
      </c>
      <c r="D490" s="96">
        <v>5.6079999999999997</v>
      </c>
    </row>
    <row r="491" spans="1:4" x14ac:dyDescent="0.3">
      <c r="A491" s="97" t="s">
        <v>1289</v>
      </c>
      <c r="B491" s="94" t="s">
        <v>1290</v>
      </c>
      <c r="C491" s="99" t="s">
        <v>198</v>
      </c>
      <c r="D491" s="96">
        <v>27.498000000000001</v>
      </c>
    </row>
    <row r="492" spans="1:4" x14ac:dyDescent="0.3">
      <c r="A492" s="93" t="s">
        <v>1291</v>
      </c>
      <c r="B492" s="94" t="s">
        <v>1292</v>
      </c>
      <c r="C492" s="95" t="s">
        <v>199</v>
      </c>
      <c r="D492" s="96">
        <v>64.62</v>
      </c>
    </row>
    <row r="493" spans="1:4" x14ac:dyDescent="0.3">
      <c r="A493" s="93" t="s">
        <v>1293</v>
      </c>
      <c r="B493" s="94" t="s">
        <v>1294</v>
      </c>
      <c r="C493" s="95" t="s">
        <v>199</v>
      </c>
      <c r="D493" s="96">
        <v>58.493000000000002</v>
      </c>
    </row>
    <row r="494" spans="1:4" x14ac:dyDescent="0.3">
      <c r="A494" s="93" t="s">
        <v>1295</v>
      </c>
      <c r="B494" s="94" t="s">
        <v>1296</v>
      </c>
      <c r="C494" s="95" t="s">
        <v>199</v>
      </c>
      <c r="D494" s="96">
        <v>114.70099999999999</v>
      </c>
    </row>
    <row r="495" spans="1:4" x14ac:dyDescent="0.3">
      <c r="A495" s="93" t="s">
        <v>1297</v>
      </c>
      <c r="B495" s="94" t="s">
        <v>1298</v>
      </c>
      <c r="C495" s="95" t="s">
        <v>199</v>
      </c>
      <c r="D495" s="96">
        <v>68.106999999999999</v>
      </c>
    </row>
    <row r="496" spans="1:4" ht="27" x14ac:dyDescent="0.3">
      <c r="A496" s="97" t="s">
        <v>1299</v>
      </c>
      <c r="B496" s="94" t="s">
        <v>1300</v>
      </c>
      <c r="C496" s="99" t="s">
        <v>198</v>
      </c>
      <c r="D496" s="96">
        <v>12.2</v>
      </c>
    </row>
    <row r="497" spans="1:4" x14ac:dyDescent="0.3">
      <c r="A497" s="93" t="s">
        <v>1301</v>
      </c>
      <c r="B497" s="94" t="s">
        <v>1302</v>
      </c>
      <c r="C497" s="95" t="s">
        <v>198</v>
      </c>
      <c r="D497" s="96">
        <v>276.233</v>
      </c>
    </row>
    <row r="498" spans="1:4" x14ac:dyDescent="0.3">
      <c r="A498" s="97" t="s">
        <v>1303</v>
      </c>
      <c r="B498" s="94" t="s">
        <v>1304</v>
      </c>
      <c r="C498" s="99" t="s">
        <v>200</v>
      </c>
      <c r="D498" s="96">
        <v>57.624000000000002</v>
      </c>
    </row>
    <row r="499" spans="1:4" ht="27" x14ac:dyDescent="0.3">
      <c r="A499" s="97" t="s">
        <v>1305</v>
      </c>
      <c r="B499" s="94" t="s">
        <v>1306</v>
      </c>
      <c r="C499" s="99" t="s">
        <v>1307</v>
      </c>
      <c r="D499" s="96">
        <v>46.636000000000003</v>
      </c>
    </row>
    <row r="500" spans="1:4" x14ac:dyDescent="0.3">
      <c r="A500" s="93" t="s">
        <v>1308</v>
      </c>
      <c r="B500" s="94" t="s">
        <v>1309</v>
      </c>
      <c r="C500" s="95" t="s">
        <v>199</v>
      </c>
      <c r="D500" s="96">
        <v>95.397000000000006</v>
      </c>
    </row>
    <row r="501" spans="1:4" x14ac:dyDescent="0.3">
      <c r="A501" s="93" t="s">
        <v>1310</v>
      </c>
      <c r="B501" s="94" t="s">
        <v>1311</v>
      </c>
      <c r="C501" s="95" t="s">
        <v>198</v>
      </c>
      <c r="D501" s="96">
        <v>316.78399999999999</v>
      </c>
    </row>
    <row r="502" spans="1:4" x14ac:dyDescent="0.3">
      <c r="A502" s="93" t="s">
        <v>1312</v>
      </c>
      <c r="B502" s="94" t="s">
        <v>1313</v>
      </c>
      <c r="C502" s="95" t="s">
        <v>405</v>
      </c>
      <c r="D502" s="96">
        <v>346.37700000000001</v>
      </c>
    </row>
    <row r="503" spans="1:4" ht="27" x14ac:dyDescent="0.3">
      <c r="A503" s="93" t="s">
        <v>1314</v>
      </c>
      <c r="B503" s="94" t="s">
        <v>1315</v>
      </c>
      <c r="C503" s="95" t="s">
        <v>1316</v>
      </c>
      <c r="D503" s="96">
        <v>50.046999999999997</v>
      </c>
    </row>
    <row r="504" spans="1:4" x14ac:dyDescent="0.3">
      <c r="A504" s="93" t="s">
        <v>1317</v>
      </c>
      <c r="B504" s="94" t="s">
        <v>1318</v>
      </c>
      <c r="C504" s="95" t="s">
        <v>198</v>
      </c>
      <c r="D504" s="96">
        <v>10.461</v>
      </c>
    </row>
    <row r="505" spans="1:4" x14ac:dyDescent="0.3">
      <c r="A505" s="93" t="s">
        <v>1319</v>
      </c>
      <c r="B505" s="94" t="s">
        <v>1320</v>
      </c>
      <c r="C505" s="95" t="s">
        <v>198</v>
      </c>
      <c r="D505" s="96">
        <v>65.555000000000007</v>
      </c>
    </row>
    <row r="506" spans="1:4" x14ac:dyDescent="0.3">
      <c r="A506" s="93" t="s">
        <v>1323</v>
      </c>
      <c r="B506" s="94" t="s">
        <v>1324</v>
      </c>
      <c r="C506" s="95" t="s">
        <v>273</v>
      </c>
      <c r="D506" s="96">
        <v>0.98299999999999998</v>
      </c>
    </row>
    <row r="507" spans="1:4" x14ac:dyDescent="0.3">
      <c r="A507" s="93" t="s">
        <v>1325</v>
      </c>
      <c r="B507" s="94" t="s">
        <v>1326</v>
      </c>
      <c r="C507" s="95" t="s">
        <v>273</v>
      </c>
      <c r="D507" s="96">
        <v>300.63</v>
      </c>
    </row>
    <row r="508" spans="1:4" ht="27" x14ac:dyDescent="0.3">
      <c r="A508" s="97" t="s">
        <v>1327</v>
      </c>
      <c r="B508" s="94" t="s">
        <v>1328</v>
      </c>
      <c r="C508" s="103" t="s">
        <v>198</v>
      </c>
      <c r="D508" s="96">
        <v>31.218</v>
      </c>
    </row>
    <row r="509" spans="1:4" x14ac:dyDescent="0.3">
      <c r="A509" s="93" t="s">
        <v>1329</v>
      </c>
      <c r="B509" s="94" t="s">
        <v>1819</v>
      </c>
      <c r="C509" s="95" t="s">
        <v>199</v>
      </c>
      <c r="D509" s="96">
        <v>106.995</v>
      </c>
    </row>
    <row r="510" spans="1:4" x14ac:dyDescent="0.3">
      <c r="A510" s="93" t="s">
        <v>1333</v>
      </c>
      <c r="B510" s="94" t="s">
        <v>1334</v>
      </c>
      <c r="C510" s="95" t="s">
        <v>442</v>
      </c>
      <c r="D510" s="96">
        <v>1331.12</v>
      </c>
    </row>
    <row r="511" spans="1:4" x14ac:dyDescent="0.3">
      <c r="A511" s="93" t="s">
        <v>1335</v>
      </c>
      <c r="B511" s="94" t="s">
        <v>1336</v>
      </c>
      <c r="C511" s="95" t="s">
        <v>198</v>
      </c>
      <c r="D511" s="96">
        <v>3.6869999999999998</v>
      </c>
    </row>
    <row r="512" spans="1:4" x14ac:dyDescent="0.3">
      <c r="A512" s="93" t="s">
        <v>1337</v>
      </c>
      <c r="B512" s="94" t="s">
        <v>1338</v>
      </c>
      <c r="C512" s="95" t="s">
        <v>198</v>
      </c>
      <c r="D512" s="96">
        <v>4.9459999999999997</v>
      </c>
    </row>
    <row r="513" spans="1:4" x14ac:dyDescent="0.3">
      <c r="A513" s="93" t="s">
        <v>1339</v>
      </c>
      <c r="B513" s="94" t="s">
        <v>1340</v>
      </c>
      <c r="C513" s="95" t="s">
        <v>198</v>
      </c>
      <c r="D513" s="96">
        <v>2916.6239999999998</v>
      </c>
    </row>
    <row r="514" spans="1:4" x14ac:dyDescent="0.3">
      <c r="A514" s="93" t="s">
        <v>1341</v>
      </c>
      <c r="B514" s="94" t="s">
        <v>1342</v>
      </c>
      <c r="C514" s="95" t="s">
        <v>199</v>
      </c>
      <c r="D514" s="96">
        <v>8.2720000000000002</v>
      </c>
    </row>
    <row r="515" spans="1:4" x14ac:dyDescent="0.3">
      <c r="A515" s="93" t="s">
        <v>1343</v>
      </c>
      <c r="B515" s="94" t="s">
        <v>1344</v>
      </c>
      <c r="C515" s="95" t="s">
        <v>553</v>
      </c>
      <c r="D515" s="96">
        <v>97.492000000000004</v>
      </c>
    </row>
    <row r="516" spans="1:4" x14ac:dyDescent="0.3">
      <c r="A516" s="97" t="s">
        <v>1345</v>
      </c>
      <c r="B516" s="94" t="s">
        <v>1346</v>
      </c>
      <c r="C516" s="99" t="s">
        <v>198</v>
      </c>
      <c r="D516" s="96">
        <v>8.0839999999999996</v>
      </c>
    </row>
    <row r="517" spans="1:4" x14ac:dyDescent="0.3">
      <c r="A517" s="93" t="s">
        <v>1347</v>
      </c>
      <c r="B517" s="94" t="s">
        <v>1348</v>
      </c>
      <c r="C517" s="95" t="s">
        <v>522</v>
      </c>
      <c r="D517" s="96">
        <v>10.49</v>
      </c>
    </row>
    <row r="518" spans="1:4" ht="27" x14ac:dyDescent="0.3">
      <c r="A518" s="93" t="s">
        <v>1349</v>
      </c>
      <c r="B518" s="94" t="s">
        <v>1350</v>
      </c>
      <c r="C518" s="95" t="s">
        <v>951</v>
      </c>
      <c r="D518" s="96">
        <v>52.45</v>
      </c>
    </row>
    <row r="519" spans="1:4" ht="27" x14ac:dyDescent="0.3">
      <c r="A519" s="93" t="s">
        <v>1351</v>
      </c>
      <c r="B519" s="94" t="s">
        <v>1352</v>
      </c>
      <c r="C519" s="95" t="s">
        <v>1353</v>
      </c>
      <c r="D519" s="96">
        <v>20.98</v>
      </c>
    </row>
    <row r="520" spans="1:4" ht="27" x14ac:dyDescent="0.3">
      <c r="A520" s="93" t="s">
        <v>1354</v>
      </c>
      <c r="B520" s="94" t="s">
        <v>1355</v>
      </c>
      <c r="C520" s="95" t="s">
        <v>522</v>
      </c>
      <c r="D520" s="96">
        <v>52.45</v>
      </c>
    </row>
    <row r="521" spans="1:4" x14ac:dyDescent="0.3">
      <c r="A521" s="100" t="s">
        <v>1356</v>
      </c>
      <c r="B521" s="94" t="s">
        <v>1357</v>
      </c>
      <c r="C521" s="95" t="s">
        <v>198</v>
      </c>
      <c r="D521" s="96">
        <v>1.006</v>
      </c>
    </row>
    <row r="522" spans="1:4" x14ac:dyDescent="0.3">
      <c r="A522" s="100" t="s">
        <v>1358</v>
      </c>
      <c r="B522" s="94" t="s">
        <v>1359</v>
      </c>
      <c r="C522" s="95" t="s">
        <v>198</v>
      </c>
      <c r="D522" s="96">
        <v>1.006</v>
      </c>
    </row>
    <row r="523" spans="1:4" x14ac:dyDescent="0.3">
      <c r="A523" s="93" t="s">
        <v>1360</v>
      </c>
      <c r="B523" s="94" t="s">
        <v>1361</v>
      </c>
      <c r="C523" s="95" t="s">
        <v>198</v>
      </c>
      <c r="D523" s="96">
        <v>2.5999999999999999E-2</v>
      </c>
    </row>
    <row r="524" spans="1:4" x14ac:dyDescent="0.3">
      <c r="A524" s="93" t="s">
        <v>1362</v>
      </c>
      <c r="B524" s="94" t="s">
        <v>1363</v>
      </c>
      <c r="C524" s="95" t="s">
        <v>209</v>
      </c>
      <c r="D524" s="96">
        <v>0.26200000000000001</v>
      </c>
    </row>
    <row r="525" spans="1:4" ht="27" x14ac:dyDescent="0.3">
      <c r="A525" s="93" t="s">
        <v>1364</v>
      </c>
      <c r="B525" s="94" t="s">
        <v>1365</v>
      </c>
      <c r="C525" s="95" t="s">
        <v>200</v>
      </c>
      <c r="D525" s="96">
        <v>3.5000000000000003E-2</v>
      </c>
    </row>
    <row r="526" spans="1:4" x14ac:dyDescent="0.3">
      <c r="A526" s="93" t="s">
        <v>1366</v>
      </c>
      <c r="B526" s="94" t="s">
        <v>1367</v>
      </c>
      <c r="C526" s="95" t="s">
        <v>198</v>
      </c>
      <c r="D526" s="96">
        <v>2.871</v>
      </c>
    </row>
    <row r="527" spans="1:4" x14ac:dyDescent="0.3">
      <c r="A527" s="93" t="s">
        <v>1368</v>
      </c>
      <c r="B527" s="94" t="s">
        <v>1369</v>
      </c>
      <c r="C527" s="95" t="s">
        <v>1134</v>
      </c>
      <c r="D527" s="96">
        <v>1.1659999999999999</v>
      </c>
    </row>
    <row r="528" spans="1:4" ht="27" x14ac:dyDescent="0.3">
      <c r="A528" s="93" t="s">
        <v>1370</v>
      </c>
      <c r="B528" s="94" t="s">
        <v>1371</v>
      </c>
      <c r="C528" s="95" t="s">
        <v>848</v>
      </c>
      <c r="D528" s="96">
        <v>1.4999999999999999E-2</v>
      </c>
    </row>
    <row r="529" spans="1:4" x14ac:dyDescent="0.3">
      <c r="A529" s="93" t="s">
        <v>1372</v>
      </c>
      <c r="B529" s="94" t="s">
        <v>1373</v>
      </c>
      <c r="C529" s="33" t="s">
        <v>214</v>
      </c>
      <c r="D529" s="96">
        <v>18.236000000000001</v>
      </c>
    </row>
    <row r="530" spans="1:4" x14ac:dyDescent="0.3">
      <c r="A530" s="93" t="s">
        <v>1374</v>
      </c>
      <c r="B530" s="94" t="s">
        <v>1375</v>
      </c>
      <c r="C530" s="95" t="s">
        <v>1376</v>
      </c>
      <c r="D530" s="96">
        <v>42616.294000000002</v>
      </c>
    </row>
    <row r="531" spans="1:4" x14ac:dyDescent="0.3">
      <c r="A531" s="93" t="s">
        <v>191</v>
      </c>
      <c r="B531" s="94" t="s">
        <v>1377</v>
      </c>
      <c r="C531" s="95" t="s">
        <v>199</v>
      </c>
      <c r="D531" s="96">
        <v>381.334</v>
      </c>
    </row>
    <row r="532" spans="1:4" x14ac:dyDescent="0.3">
      <c r="A532" s="93" t="s">
        <v>1378</v>
      </c>
      <c r="B532" s="94" t="s">
        <v>1379</v>
      </c>
      <c r="C532" s="95" t="s">
        <v>452</v>
      </c>
      <c r="D532" s="96">
        <v>53.625</v>
      </c>
    </row>
    <row r="533" spans="1:4" ht="27" x14ac:dyDescent="0.3">
      <c r="A533" s="93" t="s">
        <v>1380</v>
      </c>
      <c r="B533" s="94" t="s">
        <v>1381</v>
      </c>
      <c r="C533" s="101" t="s">
        <v>1382</v>
      </c>
      <c r="D533" s="96">
        <v>141.833</v>
      </c>
    </row>
    <row r="534" spans="1:4" x14ac:dyDescent="0.3">
      <c r="A534" s="93" t="s">
        <v>1383</v>
      </c>
      <c r="B534" s="94" t="s">
        <v>1384</v>
      </c>
      <c r="C534" s="95" t="s">
        <v>360</v>
      </c>
      <c r="D534" s="96">
        <v>1.1950000000000001</v>
      </c>
    </row>
    <row r="535" spans="1:4" x14ac:dyDescent="0.3">
      <c r="A535" s="93" t="s">
        <v>1385</v>
      </c>
      <c r="B535" s="94" t="s">
        <v>1386</v>
      </c>
      <c r="C535" s="95" t="s">
        <v>1042</v>
      </c>
      <c r="D535" s="96">
        <v>30.486999999999998</v>
      </c>
    </row>
    <row r="536" spans="1:4" x14ac:dyDescent="0.3">
      <c r="A536" s="93" t="s">
        <v>1387</v>
      </c>
      <c r="B536" s="94" t="s">
        <v>1388</v>
      </c>
      <c r="C536" s="95" t="s">
        <v>1042</v>
      </c>
      <c r="D536" s="96">
        <v>11.403</v>
      </c>
    </row>
    <row r="537" spans="1:4" x14ac:dyDescent="0.3">
      <c r="A537" s="93" t="s">
        <v>1389</v>
      </c>
      <c r="B537" s="94" t="s">
        <v>1390</v>
      </c>
      <c r="C537" s="95" t="s">
        <v>1042</v>
      </c>
      <c r="D537" s="96">
        <v>32.816000000000003</v>
      </c>
    </row>
    <row r="538" spans="1:4" x14ac:dyDescent="0.3">
      <c r="A538" s="93" t="s">
        <v>1391</v>
      </c>
      <c r="B538" s="94" t="s">
        <v>1392</v>
      </c>
      <c r="C538" s="95" t="s">
        <v>1042</v>
      </c>
      <c r="D538" s="96">
        <v>86.108999999999995</v>
      </c>
    </row>
    <row r="539" spans="1:4" x14ac:dyDescent="0.3">
      <c r="A539" s="93" t="s">
        <v>1395</v>
      </c>
      <c r="B539" s="94" t="s">
        <v>1396</v>
      </c>
      <c r="C539" s="95" t="s">
        <v>1042</v>
      </c>
      <c r="D539" s="96">
        <v>7.1210000000000004</v>
      </c>
    </row>
    <row r="540" spans="1:4" x14ac:dyDescent="0.3">
      <c r="A540" s="93" t="s">
        <v>1397</v>
      </c>
      <c r="B540" s="94" t="s">
        <v>1398</v>
      </c>
      <c r="C540" s="95" t="s">
        <v>574</v>
      </c>
      <c r="D540" s="96">
        <v>758.36599999999999</v>
      </c>
    </row>
    <row r="541" spans="1:4" x14ac:dyDescent="0.3">
      <c r="A541" s="93" t="s">
        <v>1399</v>
      </c>
      <c r="B541" s="94" t="s">
        <v>1400</v>
      </c>
      <c r="C541" s="95" t="s">
        <v>574</v>
      </c>
      <c r="D541" s="96">
        <v>758.36599999999999</v>
      </c>
    </row>
    <row r="542" spans="1:4" x14ac:dyDescent="0.3">
      <c r="A542" s="93" t="s">
        <v>1401</v>
      </c>
      <c r="B542" s="94" t="s">
        <v>1402</v>
      </c>
      <c r="C542" s="33" t="s">
        <v>1042</v>
      </c>
      <c r="D542" s="96">
        <v>8.5519999999999996</v>
      </c>
    </row>
    <row r="543" spans="1:4" x14ac:dyDescent="0.3">
      <c r="A543" s="93" t="s">
        <v>1403</v>
      </c>
      <c r="B543" s="94" t="s">
        <v>1404</v>
      </c>
      <c r="C543" s="33" t="s">
        <v>1042</v>
      </c>
      <c r="D543" s="96">
        <v>43.021999999999998</v>
      </c>
    </row>
    <row r="544" spans="1:4" x14ac:dyDescent="0.3">
      <c r="A544" s="93" t="s">
        <v>1405</v>
      </c>
      <c r="B544" s="94" t="s">
        <v>1406</v>
      </c>
      <c r="C544" s="33" t="s">
        <v>1042</v>
      </c>
      <c r="D544" s="96">
        <v>135</v>
      </c>
    </row>
    <row r="545" spans="1:4" x14ac:dyDescent="0.3">
      <c r="A545" s="93" t="s">
        <v>1407</v>
      </c>
      <c r="B545" s="94" t="s">
        <v>1408</v>
      </c>
      <c r="C545" s="33" t="s">
        <v>1042</v>
      </c>
      <c r="D545" s="96">
        <v>135.17099999999999</v>
      </c>
    </row>
    <row r="546" spans="1:4" x14ac:dyDescent="0.3">
      <c r="A546" s="93" t="s">
        <v>1423</v>
      </c>
      <c r="B546" s="94" t="s">
        <v>1424</v>
      </c>
      <c r="C546" s="33" t="s">
        <v>1042</v>
      </c>
      <c r="D546" s="96">
        <v>159.863</v>
      </c>
    </row>
    <row r="547" spans="1:4" x14ac:dyDescent="0.3">
      <c r="A547" s="93" t="s">
        <v>1425</v>
      </c>
      <c r="B547" s="94" t="s">
        <v>1426</v>
      </c>
      <c r="C547" s="95" t="s">
        <v>1042</v>
      </c>
      <c r="D547" s="96">
        <v>75.867999999999995</v>
      </c>
    </row>
    <row r="548" spans="1:4" x14ac:dyDescent="0.3">
      <c r="A548" s="97" t="s">
        <v>1427</v>
      </c>
      <c r="B548" s="94" t="s">
        <v>1428</v>
      </c>
      <c r="C548" s="95" t="s">
        <v>1042</v>
      </c>
      <c r="D548" s="96">
        <v>59.807000000000002</v>
      </c>
    </row>
    <row r="549" spans="1:4" x14ac:dyDescent="0.3">
      <c r="A549" s="93" t="s">
        <v>1429</v>
      </c>
      <c r="B549" s="94" t="s">
        <v>1430</v>
      </c>
      <c r="C549" s="101" t="s">
        <v>452</v>
      </c>
      <c r="D549" s="96">
        <v>0.63700000000000001</v>
      </c>
    </row>
    <row r="550" spans="1:4" x14ac:dyDescent="0.3">
      <c r="A550" s="93" t="s">
        <v>1431</v>
      </c>
      <c r="B550" s="94" t="s">
        <v>1432</v>
      </c>
      <c r="C550" s="33" t="s">
        <v>199</v>
      </c>
      <c r="D550" s="96">
        <v>57.276000000000003</v>
      </c>
    </row>
    <row r="551" spans="1:4" x14ac:dyDescent="0.3">
      <c r="A551" s="93" t="s">
        <v>1433</v>
      </c>
      <c r="B551" s="94" t="s">
        <v>1434</v>
      </c>
      <c r="C551" s="33" t="s">
        <v>199</v>
      </c>
      <c r="D551" s="96">
        <v>61.902999999999999</v>
      </c>
    </row>
    <row r="552" spans="1:4" x14ac:dyDescent="0.3">
      <c r="A552" s="93" t="s">
        <v>1435</v>
      </c>
      <c r="B552" s="94" t="s">
        <v>1436</v>
      </c>
      <c r="C552" s="99" t="s">
        <v>360</v>
      </c>
      <c r="D552" s="96">
        <v>1.13609</v>
      </c>
    </row>
    <row r="553" spans="1:4" x14ac:dyDescent="0.3">
      <c r="A553" s="93" t="s">
        <v>1437</v>
      </c>
      <c r="B553" s="94" t="s">
        <v>1438</v>
      </c>
      <c r="C553" s="99" t="s">
        <v>432</v>
      </c>
      <c r="D553" s="96">
        <v>11.360899999999999</v>
      </c>
    </row>
    <row r="554" spans="1:4" x14ac:dyDescent="0.3">
      <c r="A554" s="93" t="s">
        <v>1439</v>
      </c>
      <c r="B554" s="94" t="s">
        <v>1440</v>
      </c>
      <c r="C554" s="95" t="s">
        <v>396</v>
      </c>
      <c r="D554" s="96">
        <v>358.35416666666669</v>
      </c>
    </row>
    <row r="555" spans="1:4" x14ac:dyDescent="0.3">
      <c r="A555" s="97" t="s">
        <v>1441</v>
      </c>
      <c r="B555" s="94" t="s">
        <v>1442</v>
      </c>
      <c r="C555" s="99" t="s">
        <v>452</v>
      </c>
      <c r="D555" s="96">
        <v>0.75190000000000001</v>
      </c>
    </row>
    <row r="556" spans="1:4" x14ac:dyDescent="0.3">
      <c r="A556" s="97" t="s">
        <v>1445</v>
      </c>
      <c r="B556" s="94" t="s">
        <v>1446</v>
      </c>
      <c r="C556" s="99" t="s">
        <v>204</v>
      </c>
      <c r="D556" s="96">
        <v>20.346</v>
      </c>
    </row>
    <row r="557" spans="1:4" ht="27" x14ac:dyDescent="0.3">
      <c r="A557" s="93" t="s">
        <v>1447</v>
      </c>
      <c r="B557" s="94" t="s">
        <v>1448</v>
      </c>
      <c r="C557" s="95" t="s">
        <v>204</v>
      </c>
      <c r="D557" s="96">
        <v>32.463000000000001</v>
      </c>
    </row>
    <row r="558" spans="1:4" x14ac:dyDescent="0.3">
      <c r="A558" s="93" t="s">
        <v>1449</v>
      </c>
      <c r="B558" s="94" t="s">
        <v>1450</v>
      </c>
      <c r="C558" s="95" t="s">
        <v>204</v>
      </c>
      <c r="D558" s="96">
        <v>48.694000000000003</v>
      </c>
    </row>
    <row r="559" spans="1:4" ht="27" x14ac:dyDescent="0.3">
      <c r="A559" s="93" t="s">
        <v>1451</v>
      </c>
      <c r="B559" s="94" t="s">
        <v>1452</v>
      </c>
      <c r="C559" s="95" t="s">
        <v>204</v>
      </c>
      <c r="D559" s="96">
        <v>7.6999999999999999E-2</v>
      </c>
    </row>
    <row r="560" spans="1:4" ht="27" x14ac:dyDescent="0.3">
      <c r="A560" s="93" t="s">
        <v>1610</v>
      </c>
      <c r="B560" s="94" t="s">
        <v>1611</v>
      </c>
      <c r="C560" s="95" t="s">
        <v>204</v>
      </c>
      <c r="D560" s="96">
        <v>0.224</v>
      </c>
    </row>
    <row r="561" spans="1:4" ht="27" x14ac:dyDescent="0.3">
      <c r="A561" s="93" t="s">
        <v>1612</v>
      </c>
      <c r="B561" s="94" t="s">
        <v>1613</v>
      </c>
      <c r="C561" s="95" t="s">
        <v>204</v>
      </c>
      <c r="D561" s="96">
        <v>0.26</v>
      </c>
    </row>
    <row r="562" spans="1:4" ht="27" x14ac:dyDescent="0.3">
      <c r="A562" s="93" t="s">
        <v>1453</v>
      </c>
      <c r="B562" s="94" t="s">
        <v>1454</v>
      </c>
      <c r="C562" s="95" t="s">
        <v>204</v>
      </c>
      <c r="D562" s="96">
        <v>0.19700000000000001</v>
      </c>
    </row>
    <row r="563" spans="1:4" ht="27" x14ac:dyDescent="0.3">
      <c r="A563" s="93" t="s">
        <v>1455</v>
      </c>
      <c r="B563" s="94" t="s">
        <v>1456</v>
      </c>
      <c r="C563" s="95" t="s">
        <v>204</v>
      </c>
      <c r="D563" s="96">
        <v>1.0189999999999999</v>
      </c>
    </row>
    <row r="564" spans="1:4" ht="27" x14ac:dyDescent="0.3">
      <c r="A564" s="93" t="s">
        <v>1457</v>
      </c>
      <c r="B564" s="94" t="s">
        <v>1458</v>
      </c>
      <c r="C564" s="95" t="s">
        <v>204</v>
      </c>
      <c r="D564" s="96">
        <v>0.32900000000000001</v>
      </c>
    </row>
    <row r="565" spans="1:4" ht="27" x14ac:dyDescent="0.3">
      <c r="A565" s="93" t="s">
        <v>1459</v>
      </c>
      <c r="B565" s="94" t="s">
        <v>1460</v>
      </c>
      <c r="C565" s="95" t="s">
        <v>204</v>
      </c>
      <c r="D565" s="96">
        <v>0.12</v>
      </c>
    </row>
    <row r="566" spans="1:4" ht="27" x14ac:dyDescent="0.3">
      <c r="A566" s="93" t="s">
        <v>1461</v>
      </c>
      <c r="B566" s="94" t="s">
        <v>1462</v>
      </c>
      <c r="C566" s="95" t="s">
        <v>1463</v>
      </c>
      <c r="D566" s="96">
        <v>1674.8</v>
      </c>
    </row>
    <row r="567" spans="1:4" ht="27" x14ac:dyDescent="0.3">
      <c r="A567" s="104" t="s">
        <v>1464</v>
      </c>
      <c r="B567" s="105" t="s">
        <v>1465</v>
      </c>
      <c r="C567" s="106" t="s">
        <v>1466</v>
      </c>
      <c r="D567" s="107">
        <v>1674.8</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FC705-D9B6-4C80-A6FB-456A3B6C8D80}">
  <dimension ref="A1:E591"/>
  <sheetViews>
    <sheetView topLeftCell="A497" zoomScale="110" zoomScaleNormal="110" workbookViewId="0">
      <selection activeCell="B510" sqref="B510"/>
    </sheetView>
  </sheetViews>
  <sheetFormatPr defaultRowHeight="14.4" x14ac:dyDescent="0.3"/>
  <cols>
    <col min="1" max="1" width="13.77734375" style="1" customWidth="1"/>
    <col min="2" max="2" width="23.5546875" style="41" customWidth="1"/>
    <col min="3" max="3" width="20.5546875" style="1" customWidth="1"/>
    <col min="4" max="4" width="15.77734375" style="1" customWidth="1"/>
    <col min="5" max="5" width="17.44140625" style="42" customWidth="1"/>
  </cols>
  <sheetData>
    <row r="1" spans="1:5" ht="15" thickBot="1" x14ac:dyDescent="0.35">
      <c r="A1" s="2" t="s">
        <v>201</v>
      </c>
      <c r="B1" s="20" t="s">
        <v>202</v>
      </c>
      <c r="C1" s="2" t="s">
        <v>196</v>
      </c>
      <c r="D1" s="3" t="s">
        <v>197</v>
      </c>
      <c r="E1" s="2" t="s">
        <v>1467</v>
      </c>
    </row>
    <row r="2" spans="1:5" ht="27" x14ac:dyDescent="0.3">
      <c r="A2" s="24" t="s">
        <v>392</v>
      </c>
      <c r="B2" s="25" t="s">
        <v>393</v>
      </c>
      <c r="C2" s="24" t="s">
        <v>209</v>
      </c>
      <c r="D2" s="26">
        <v>3.0190000000000001</v>
      </c>
      <c r="E2" s="27"/>
    </row>
    <row r="3" spans="1:5" x14ac:dyDescent="0.3">
      <c r="A3" s="24" t="s">
        <v>394</v>
      </c>
      <c r="B3" s="25" t="s">
        <v>395</v>
      </c>
      <c r="C3" s="24" t="s">
        <v>396</v>
      </c>
      <c r="D3" s="26">
        <v>0.16400000000000001</v>
      </c>
      <c r="E3" s="28"/>
    </row>
    <row r="4" spans="1:5" x14ac:dyDescent="0.3">
      <c r="A4" s="29" t="s">
        <v>426</v>
      </c>
      <c r="B4" s="25" t="s">
        <v>427</v>
      </c>
      <c r="C4" s="24" t="s">
        <v>198</v>
      </c>
      <c r="D4" s="26">
        <v>8.1319999999999997</v>
      </c>
      <c r="E4" s="28"/>
    </row>
    <row r="5" spans="1:5" x14ac:dyDescent="0.3">
      <c r="A5" s="24" t="s">
        <v>483</v>
      </c>
      <c r="B5" s="25" t="s">
        <v>484</v>
      </c>
      <c r="C5" s="24" t="s">
        <v>198</v>
      </c>
      <c r="D5" s="26">
        <v>19.103999999999999</v>
      </c>
      <c r="E5" s="28"/>
    </row>
    <row r="6" spans="1:5" ht="27" x14ac:dyDescent="0.3">
      <c r="A6" s="24" t="s">
        <v>487</v>
      </c>
      <c r="B6" s="25" t="s">
        <v>488</v>
      </c>
      <c r="C6" s="24" t="s">
        <v>311</v>
      </c>
      <c r="D6" s="26">
        <v>3.661</v>
      </c>
      <c r="E6" s="28"/>
    </row>
    <row r="7" spans="1:5" ht="27" x14ac:dyDescent="0.3">
      <c r="A7" s="24" t="s">
        <v>489</v>
      </c>
      <c r="B7" s="25" t="s">
        <v>490</v>
      </c>
      <c r="C7" s="24" t="s">
        <v>491</v>
      </c>
      <c r="D7" s="26">
        <v>6.2380000000000004</v>
      </c>
      <c r="E7" s="28"/>
    </row>
    <row r="8" spans="1:5" ht="27" x14ac:dyDescent="0.3">
      <c r="A8" s="24" t="s">
        <v>492</v>
      </c>
      <c r="B8" s="25" t="s">
        <v>493</v>
      </c>
      <c r="C8" s="24" t="s">
        <v>494</v>
      </c>
      <c r="D8" s="26">
        <v>12.016</v>
      </c>
      <c r="E8" s="28"/>
    </row>
    <row r="9" spans="1:5" ht="27" x14ac:dyDescent="0.3">
      <c r="A9" s="24" t="s">
        <v>495</v>
      </c>
      <c r="B9" s="25" t="s">
        <v>496</v>
      </c>
      <c r="C9" s="24" t="s">
        <v>198</v>
      </c>
      <c r="D9" s="26">
        <v>0.56499999999999995</v>
      </c>
      <c r="E9" s="28"/>
    </row>
    <row r="10" spans="1:5" x14ac:dyDescent="0.3">
      <c r="A10" s="24" t="s">
        <v>641</v>
      </c>
      <c r="B10" s="25" t="s">
        <v>642</v>
      </c>
      <c r="C10" s="24" t="s">
        <v>199</v>
      </c>
      <c r="D10" s="26">
        <v>64.959999999999994</v>
      </c>
      <c r="E10" s="28"/>
    </row>
    <row r="11" spans="1:5" ht="27" x14ac:dyDescent="0.3">
      <c r="A11" s="24" t="s">
        <v>849</v>
      </c>
      <c r="B11" s="25" t="s">
        <v>850</v>
      </c>
      <c r="C11" s="24" t="s">
        <v>491</v>
      </c>
      <c r="D11" s="26">
        <v>4.4889999999999999</v>
      </c>
      <c r="E11" s="28"/>
    </row>
    <row r="12" spans="1:5" ht="27" x14ac:dyDescent="0.3">
      <c r="A12" s="24" t="s">
        <v>851</v>
      </c>
      <c r="B12" s="25" t="s">
        <v>850</v>
      </c>
      <c r="C12" s="30" t="s">
        <v>852</v>
      </c>
      <c r="D12" s="26">
        <v>6.1689999999999996</v>
      </c>
      <c r="E12" s="28"/>
    </row>
    <row r="13" spans="1:5" x14ac:dyDescent="0.3">
      <c r="A13" s="24" t="s">
        <v>888</v>
      </c>
      <c r="B13" s="25" t="s">
        <v>889</v>
      </c>
      <c r="C13" s="24" t="s">
        <v>198</v>
      </c>
      <c r="D13" s="26">
        <v>4.9329999999999998</v>
      </c>
      <c r="E13" s="28"/>
    </row>
    <row r="14" spans="1:5" x14ac:dyDescent="0.3">
      <c r="A14" s="24" t="s">
        <v>1060</v>
      </c>
      <c r="B14" s="25" t="s">
        <v>1061</v>
      </c>
      <c r="C14" s="24" t="s">
        <v>513</v>
      </c>
      <c r="D14" s="26">
        <v>0.24099999999999999</v>
      </c>
      <c r="E14" s="28"/>
    </row>
    <row r="15" spans="1:5" x14ac:dyDescent="0.3">
      <c r="A15" s="24" t="s">
        <v>1062</v>
      </c>
      <c r="B15" s="25" t="s">
        <v>1063</v>
      </c>
      <c r="C15" s="24" t="s">
        <v>200</v>
      </c>
      <c r="D15" s="26">
        <v>8.1000000000000003E-2</v>
      </c>
      <c r="E15" s="28"/>
    </row>
    <row r="16" spans="1:5" x14ac:dyDescent="0.3">
      <c r="A16" s="24" t="s">
        <v>1081</v>
      </c>
      <c r="B16" s="25" t="s">
        <v>1082</v>
      </c>
      <c r="C16" s="24" t="s">
        <v>458</v>
      </c>
      <c r="D16" s="26">
        <v>8.9049999999999994</v>
      </c>
      <c r="E16" s="28"/>
    </row>
    <row r="17" spans="1:5" x14ac:dyDescent="0.3">
      <c r="A17" s="24" t="s">
        <v>1118</v>
      </c>
      <c r="B17" s="25" t="s">
        <v>1119</v>
      </c>
      <c r="C17" s="24" t="s">
        <v>688</v>
      </c>
      <c r="D17" s="26">
        <v>24.277999999999999</v>
      </c>
      <c r="E17" s="28"/>
    </row>
    <row r="18" spans="1:5" x14ac:dyDescent="0.3">
      <c r="A18" s="24" t="s">
        <v>1120</v>
      </c>
      <c r="B18" s="25" t="s">
        <v>1121</v>
      </c>
      <c r="C18" s="24" t="s">
        <v>445</v>
      </c>
      <c r="D18" s="26">
        <v>1.2130000000000001</v>
      </c>
      <c r="E18" s="28"/>
    </row>
    <row r="19" spans="1:5" x14ac:dyDescent="0.3">
      <c r="A19" s="24" t="s">
        <v>1122</v>
      </c>
      <c r="B19" s="25" t="s">
        <v>1123</v>
      </c>
      <c r="C19" s="24" t="s">
        <v>284</v>
      </c>
      <c r="D19" s="26">
        <v>3.6440000000000001</v>
      </c>
      <c r="E19" s="28"/>
    </row>
    <row r="20" spans="1:5" ht="27" x14ac:dyDescent="0.3">
      <c r="A20" s="24" t="s">
        <v>1124</v>
      </c>
      <c r="B20" s="25" t="s">
        <v>1125</v>
      </c>
      <c r="C20" s="24" t="s">
        <v>553</v>
      </c>
      <c r="D20" s="26">
        <v>3.9209999999999998</v>
      </c>
      <c r="E20" s="28"/>
    </row>
    <row r="21" spans="1:5" x14ac:dyDescent="0.3">
      <c r="A21" s="24" t="s">
        <v>1126</v>
      </c>
      <c r="B21" s="25" t="s">
        <v>1127</v>
      </c>
      <c r="C21" s="24" t="s">
        <v>458</v>
      </c>
      <c r="D21" s="26">
        <v>5.0000000000000001E-3</v>
      </c>
      <c r="E21" s="28"/>
    </row>
    <row r="22" spans="1:5" x14ac:dyDescent="0.3">
      <c r="A22" s="24" t="s">
        <v>1128</v>
      </c>
      <c r="B22" s="25" t="s">
        <v>1129</v>
      </c>
      <c r="C22" s="24" t="s">
        <v>209</v>
      </c>
      <c r="D22" s="26">
        <v>74.611000000000004</v>
      </c>
      <c r="E22" s="28"/>
    </row>
    <row r="23" spans="1:5" x14ac:dyDescent="0.3">
      <c r="A23" s="24" t="s">
        <v>1130</v>
      </c>
      <c r="B23" s="25" t="s">
        <v>1131</v>
      </c>
      <c r="C23" s="24" t="s">
        <v>688</v>
      </c>
      <c r="D23" s="26">
        <v>11.999624000000001</v>
      </c>
      <c r="E23" s="28"/>
    </row>
    <row r="24" spans="1:5" x14ac:dyDescent="0.3">
      <c r="A24" s="24" t="s">
        <v>1132</v>
      </c>
      <c r="B24" s="25" t="s">
        <v>1133</v>
      </c>
      <c r="C24" s="24" t="s">
        <v>1134</v>
      </c>
      <c r="D24" s="26">
        <v>0.15</v>
      </c>
      <c r="E24" s="28"/>
    </row>
    <row r="25" spans="1:5" x14ac:dyDescent="0.3">
      <c r="A25" s="24" t="s">
        <v>1139</v>
      </c>
      <c r="B25" s="25" t="s">
        <v>1140</v>
      </c>
      <c r="C25" s="24" t="s">
        <v>200</v>
      </c>
      <c r="D25" s="26">
        <v>0.76500000000000001</v>
      </c>
      <c r="E25" s="28"/>
    </row>
    <row r="26" spans="1:5" x14ac:dyDescent="0.3">
      <c r="A26" s="24" t="s">
        <v>1141</v>
      </c>
      <c r="B26" s="25" t="s">
        <v>1142</v>
      </c>
      <c r="C26" s="24" t="s">
        <v>1143</v>
      </c>
      <c r="D26" s="26">
        <v>103.7</v>
      </c>
      <c r="E26" s="28"/>
    </row>
    <row r="27" spans="1:5" x14ac:dyDescent="0.3">
      <c r="A27" s="24" t="s">
        <v>1144</v>
      </c>
      <c r="B27" s="25" t="s">
        <v>1145</v>
      </c>
      <c r="C27" s="24" t="s">
        <v>199</v>
      </c>
      <c r="D27" s="26">
        <v>2.8940000000000001</v>
      </c>
      <c r="E27" s="28"/>
    </row>
    <row r="28" spans="1:5" x14ac:dyDescent="0.3">
      <c r="A28" s="24" t="s">
        <v>1178</v>
      </c>
      <c r="B28" s="25" t="s">
        <v>1179</v>
      </c>
      <c r="C28" s="24" t="s">
        <v>198</v>
      </c>
      <c r="D28" s="26">
        <v>163.066</v>
      </c>
      <c r="E28" s="28"/>
    </row>
    <row r="29" spans="1:5" x14ac:dyDescent="0.3">
      <c r="A29" s="24" t="s">
        <v>1180</v>
      </c>
      <c r="B29" s="25" t="s">
        <v>1181</v>
      </c>
      <c r="C29" s="24" t="s">
        <v>198</v>
      </c>
      <c r="D29" s="26">
        <v>173.45599999999999</v>
      </c>
      <c r="E29" s="28"/>
    </row>
    <row r="30" spans="1:5" ht="27" x14ac:dyDescent="0.3">
      <c r="A30" s="31" t="s">
        <v>1182</v>
      </c>
      <c r="B30" s="25" t="s">
        <v>1183</v>
      </c>
      <c r="C30" s="31" t="s">
        <v>273</v>
      </c>
      <c r="D30" s="26">
        <v>25.190999999999999</v>
      </c>
      <c r="E30" s="28"/>
    </row>
    <row r="31" spans="1:5" x14ac:dyDescent="0.3">
      <c r="A31" s="24" t="s">
        <v>1184</v>
      </c>
      <c r="B31" s="25" t="s">
        <v>1185</v>
      </c>
      <c r="C31" s="24" t="s">
        <v>209</v>
      </c>
      <c r="D31" s="26">
        <v>2.89</v>
      </c>
      <c r="E31" s="28"/>
    </row>
    <row r="32" spans="1:5" x14ac:dyDescent="0.3">
      <c r="A32" s="31" t="s">
        <v>1186</v>
      </c>
      <c r="B32" s="25" t="s">
        <v>1187</v>
      </c>
      <c r="C32" s="31" t="s">
        <v>198</v>
      </c>
      <c r="D32" s="26">
        <v>37.247999999999998</v>
      </c>
      <c r="E32" s="28"/>
    </row>
    <row r="33" spans="1:5" x14ac:dyDescent="0.3">
      <c r="A33" s="24" t="s">
        <v>1188</v>
      </c>
      <c r="B33" s="25" t="s">
        <v>1189</v>
      </c>
      <c r="C33" s="24" t="s">
        <v>257</v>
      </c>
      <c r="D33" s="26">
        <v>3534.848</v>
      </c>
      <c r="E33" s="28"/>
    </row>
    <row r="34" spans="1:5" x14ac:dyDescent="0.3">
      <c r="A34" s="24" t="s">
        <v>1190</v>
      </c>
      <c r="B34" s="25" t="s">
        <v>1191</v>
      </c>
      <c r="C34" s="24" t="s">
        <v>199</v>
      </c>
      <c r="D34" s="26">
        <v>62.112000000000002</v>
      </c>
      <c r="E34" s="28"/>
    </row>
    <row r="35" spans="1:5" x14ac:dyDescent="0.3">
      <c r="A35" s="24" t="s">
        <v>1192</v>
      </c>
      <c r="B35" s="25" t="s">
        <v>1193</v>
      </c>
      <c r="C35" s="24" t="s">
        <v>199</v>
      </c>
      <c r="D35" s="26">
        <v>1.891</v>
      </c>
      <c r="E35" s="28"/>
    </row>
    <row r="36" spans="1:5" ht="27" x14ac:dyDescent="0.3">
      <c r="A36" s="24" t="s">
        <v>1196</v>
      </c>
      <c r="B36" s="25" t="s">
        <v>1197</v>
      </c>
      <c r="C36" s="24" t="s">
        <v>257</v>
      </c>
      <c r="D36" s="26">
        <v>34.726999999999997</v>
      </c>
      <c r="E36" s="28"/>
    </row>
    <row r="37" spans="1:5" x14ac:dyDescent="0.3">
      <c r="A37" s="24" t="s">
        <v>1198</v>
      </c>
      <c r="B37" s="25" t="s">
        <v>1199</v>
      </c>
      <c r="C37" s="24" t="s">
        <v>257</v>
      </c>
      <c r="D37" s="26">
        <v>0.58299999999999996</v>
      </c>
      <c r="E37" s="28"/>
    </row>
    <row r="38" spans="1:5" x14ac:dyDescent="0.3">
      <c r="A38" s="24" t="s">
        <v>1200</v>
      </c>
      <c r="B38" s="25" t="s">
        <v>1201</v>
      </c>
      <c r="C38" s="24" t="s">
        <v>396</v>
      </c>
      <c r="D38" s="26">
        <v>1094.1790000000001</v>
      </c>
      <c r="E38" s="28"/>
    </row>
    <row r="39" spans="1:5" x14ac:dyDescent="0.3">
      <c r="A39" s="24" t="s">
        <v>1202</v>
      </c>
      <c r="B39" s="25" t="s">
        <v>1203</v>
      </c>
      <c r="C39" s="24" t="s">
        <v>257</v>
      </c>
      <c r="D39" s="26">
        <v>4.0579999999999998</v>
      </c>
      <c r="E39" s="28"/>
    </row>
    <row r="40" spans="1:5" ht="27" x14ac:dyDescent="0.3">
      <c r="A40" s="24" t="s">
        <v>1204</v>
      </c>
      <c r="B40" s="25" t="s">
        <v>1205</v>
      </c>
      <c r="C40" s="24" t="s">
        <v>199</v>
      </c>
      <c r="D40" s="26">
        <v>53.750999999999998</v>
      </c>
      <c r="E40" s="28"/>
    </row>
    <row r="41" spans="1:5" x14ac:dyDescent="0.3">
      <c r="A41" s="24" t="s">
        <v>1206</v>
      </c>
      <c r="B41" s="25" t="s">
        <v>1207</v>
      </c>
      <c r="C41" s="24" t="s">
        <v>199</v>
      </c>
      <c r="D41" s="26">
        <v>47.14</v>
      </c>
      <c r="E41" s="28"/>
    </row>
    <row r="42" spans="1:5" ht="27" x14ac:dyDescent="0.3">
      <c r="A42" s="31" t="s">
        <v>1208</v>
      </c>
      <c r="B42" s="25" t="s">
        <v>1209</v>
      </c>
      <c r="C42" s="31" t="s">
        <v>1210</v>
      </c>
      <c r="D42" s="26">
        <v>192.30600000000001</v>
      </c>
      <c r="E42" s="28"/>
    </row>
    <row r="43" spans="1:5" x14ac:dyDescent="0.3">
      <c r="A43" s="29" t="s">
        <v>1211</v>
      </c>
      <c r="B43" s="25" t="s">
        <v>1212</v>
      </c>
      <c r="C43" s="24" t="s">
        <v>198</v>
      </c>
      <c r="D43" s="26">
        <v>3.903</v>
      </c>
      <c r="E43" s="28"/>
    </row>
    <row r="44" spans="1:5" x14ac:dyDescent="0.3">
      <c r="A44" s="24" t="s">
        <v>192</v>
      </c>
      <c r="B44" s="25" t="s">
        <v>1213</v>
      </c>
      <c r="C44" s="24" t="s">
        <v>198</v>
      </c>
      <c r="D44" s="26">
        <v>0.85399999999999998</v>
      </c>
      <c r="E44" s="28"/>
    </row>
    <row r="45" spans="1:5" x14ac:dyDescent="0.3">
      <c r="A45" s="24" t="s">
        <v>1214</v>
      </c>
      <c r="B45" s="25" t="s">
        <v>1215</v>
      </c>
      <c r="C45" s="24" t="s">
        <v>199</v>
      </c>
      <c r="D45" s="26">
        <v>74.855999999999995</v>
      </c>
      <c r="E45" s="28"/>
    </row>
    <row r="46" spans="1:5" x14ac:dyDescent="0.3">
      <c r="A46" s="24" t="s">
        <v>1216</v>
      </c>
      <c r="B46" s="25" t="s">
        <v>1217</v>
      </c>
      <c r="C46" s="24" t="s">
        <v>198</v>
      </c>
      <c r="D46" s="26">
        <v>6.4909999999999997</v>
      </c>
      <c r="E46" s="28"/>
    </row>
    <row r="47" spans="1:5" x14ac:dyDescent="0.3">
      <c r="A47" s="24" t="s">
        <v>195</v>
      </c>
      <c r="B47" s="25" t="s">
        <v>1218</v>
      </c>
      <c r="C47" s="24" t="s">
        <v>688</v>
      </c>
      <c r="D47" s="26">
        <v>0.92500000000000004</v>
      </c>
      <c r="E47" s="28"/>
    </row>
    <row r="48" spans="1:5" x14ac:dyDescent="0.3">
      <c r="A48" s="24" t="s">
        <v>1221</v>
      </c>
      <c r="B48" s="25" t="s">
        <v>1222</v>
      </c>
      <c r="C48" s="24" t="s">
        <v>199</v>
      </c>
      <c r="D48" s="26">
        <v>0.622</v>
      </c>
      <c r="E48" s="28"/>
    </row>
    <row r="49" spans="1:5" x14ac:dyDescent="0.3">
      <c r="A49" s="24" t="s">
        <v>1225</v>
      </c>
      <c r="B49" s="25" t="s">
        <v>1226</v>
      </c>
      <c r="C49" s="24" t="s">
        <v>284</v>
      </c>
      <c r="D49" s="26">
        <v>1.8360000000000001</v>
      </c>
      <c r="E49" s="28"/>
    </row>
    <row r="50" spans="1:5" x14ac:dyDescent="0.3">
      <c r="A50" s="24" t="s">
        <v>1236</v>
      </c>
      <c r="B50" s="25" t="s">
        <v>1237</v>
      </c>
      <c r="C50" s="24" t="s">
        <v>311</v>
      </c>
      <c r="D50" s="26">
        <v>2.7370000000000001</v>
      </c>
      <c r="E50" s="28"/>
    </row>
    <row r="51" spans="1:5" x14ac:dyDescent="0.3">
      <c r="A51" s="24" t="s">
        <v>1240</v>
      </c>
      <c r="B51" s="25" t="s">
        <v>1241</v>
      </c>
      <c r="C51" s="24" t="s">
        <v>405</v>
      </c>
      <c r="D51" s="26">
        <v>25.692</v>
      </c>
      <c r="E51" s="28"/>
    </row>
    <row r="52" spans="1:5" x14ac:dyDescent="0.3">
      <c r="A52" s="24" t="s">
        <v>1242</v>
      </c>
      <c r="B52" s="25" t="s">
        <v>1243</v>
      </c>
      <c r="C52" s="24" t="s">
        <v>442</v>
      </c>
      <c r="D52" s="26">
        <v>1.468</v>
      </c>
      <c r="E52" s="28"/>
    </row>
    <row r="53" spans="1:5" x14ac:dyDescent="0.3">
      <c r="A53" s="24" t="s">
        <v>1244</v>
      </c>
      <c r="B53" s="25" t="s">
        <v>1245</v>
      </c>
      <c r="C53" s="24" t="s">
        <v>200</v>
      </c>
      <c r="D53" s="26">
        <v>32.545000000000002</v>
      </c>
      <c r="E53" s="28"/>
    </row>
    <row r="54" spans="1:5" x14ac:dyDescent="0.3">
      <c r="A54" s="24" t="s">
        <v>1268</v>
      </c>
      <c r="B54" s="25" t="s">
        <v>1269</v>
      </c>
      <c r="C54" s="24" t="s">
        <v>396</v>
      </c>
      <c r="D54" s="26">
        <v>0.126</v>
      </c>
      <c r="E54" s="28"/>
    </row>
    <row r="55" spans="1:5" x14ac:dyDescent="0.3">
      <c r="A55" s="24" t="s">
        <v>1270</v>
      </c>
      <c r="B55" s="25" t="s">
        <v>1271</v>
      </c>
      <c r="C55" s="24" t="s">
        <v>198</v>
      </c>
      <c r="D55" s="26">
        <v>12.304</v>
      </c>
      <c r="E55" s="28"/>
    </row>
    <row r="56" spans="1:5" x14ac:dyDescent="0.3">
      <c r="A56" s="24" t="s">
        <v>1272</v>
      </c>
      <c r="B56" s="25" t="s">
        <v>1273</v>
      </c>
      <c r="C56" s="24" t="s">
        <v>1274</v>
      </c>
      <c r="D56" s="26">
        <v>16430.062999999998</v>
      </c>
      <c r="E56" s="28"/>
    </row>
    <row r="57" spans="1:5" x14ac:dyDescent="0.3">
      <c r="A57" s="24" t="s">
        <v>1275</v>
      </c>
      <c r="B57" s="25" t="s">
        <v>1276</v>
      </c>
      <c r="C57" s="24" t="s">
        <v>198</v>
      </c>
      <c r="D57" s="26">
        <v>0.13500000000000001</v>
      </c>
      <c r="E57" s="28"/>
    </row>
    <row r="58" spans="1:5" x14ac:dyDescent="0.3">
      <c r="A58" s="31" t="s">
        <v>1289</v>
      </c>
      <c r="B58" s="25" t="s">
        <v>1290</v>
      </c>
      <c r="C58" s="31" t="s">
        <v>198</v>
      </c>
      <c r="D58" s="26">
        <v>27.803999999999998</v>
      </c>
      <c r="E58" s="28"/>
    </row>
    <row r="59" spans="1:5" x14ac:dyDescent="0.3">
      <c r="A59" s="24" t="s">
        <v>1291</v>
      </c>
      <c r="B59" s="25" t="s">
        <v>1292</v>
      </c>
      <c r="C59" s="24" t="s">
        <v>199</v>
      </c>
      <c r="D59" s="26">
        <v>63.335999999999999</v>
      </c>
      <c r="E59" s="28"/>
    </row>
    <row r="60" spans="1:5" x14ac:dyDescent="0.3">
      <c r="A60" s="24" t="s">
        <v>1293</v>
      </c>
      <c r="B60" s="25" t="s">
        <v>1294</v>
      </c>
      <c r="C60" s="24" t="s">
        <v>199</v>
      </c>
      <c r="D60" s="26">
        <v>59.798000000000002</v>
      </c>
      <c r="E60" s="28"/>
    </row>
    <row r="61" spans="1:5" x14ac:dyDescent="0.3">
      <c r="A61" s="24" t="s">
        <v>1295</v>
      </c>
      <c r="B61" s="25" t="s">
        <v>1296</v>
      </c>
      <c r="C61" s="24" t="s">
        <v>199</v>
      </c>
      <c r="D61" s="26">
        <v>117.756</v>
      </c>
      <c r="E61" s="28"/>
    </row>
    <row r="62" spans="1:5" x14ac:dyDescent="0.3">
      <c r="A62" s="24" t="s">
        <v>1297</v>
      </c>
      <c r="B62" s="25" t="s">
        <v>1298</v>
      </c>
      <c r="C62" s="24" t="s">
        <v>199</v>
      </c>
      <c r="D62" s="26">
        <v>69.543000000000006</v>
      </c>
      <c r="E62" s="28"/>
    </row>
    <row r="63" spans="1:5" x14ac:dyDescent="0.3">
      <c r="A63" s="24" t="s">
        <v>537</v>
      </c>
      <c r="B63" s="25" t="s">
        <v>538</v>
      </c>
      <c r="C63" s="24" t="s">
        <v>199</v>
      </c>
      <c r="D63" s="26">
        <v>230.47900000000001</v>
      </c>
      <c r="E63" s="28"/>
    </row>
    <row r="64" spans="1:5" x14ac:dyDescent="0.3">
      <c r="A64" s="24" t="s">
        <v>1343</v>
      </c>
      <c r="B64" s="25" t="s">
        <v>1344</v>
      </c>
      <c r="C64" s="24" t="s">
        <v>553</v>
      </c>
      <c r="D64" s="26">
        <v>98.778000000000006</v>
      </c>
      <c r="E64" s="28"/>
    </row>
    <row r="65" spans="1:5" x14ac:dyDescent="0.3">
      <c r="A65" s="31" t="s">
        <v>1345</v>
      </c>
      <c r="B65" s="25" t="s">
        <v>1346</v>
      </c>
      <c r="C65" s="31" t="s">
        <v>198</v>
      </c>
      <c r="D65" s="26">
        <v>8.4220000000000006</v>
      </c>
      <c r="E65" s="28"/>
    </row>
    <row r="66" spans="1:5" x14ac:dyDescent="0.3">
      <c r="A66" s="24">
        <v>90371</v>
      </c>
      <c r="B66" s="25" t="s">
        <v>203</v>
      </c>
      <c r="C66" s="24" t="s">
        <v>204</v>
      </c>
      <c r="D66" s="26">
        <v>118.199</v>
      </c>
      <c r="E66" s="28"/>
    </row>
    <row r="67" spans="1:5" x14ac:dyDescent="0.3">
      <c r="A67" s="24">
        <v>90375</v>
      </c>
      <c r="B67" s="25" t="s">
        <v>205</v>
      </c>
      <c r="C67" s="24" t="s">
        <v>206</v>
      </c>
      <c r="D67" s="26">
        <v>301.72800000000001</v>
      </c>
      <c r="E67" s="28"/>
    </row>
    <row r="68" spans="1:5" x14ac:dyDescent="0.3">
      <c r="A68" s="24">
        <v>90376</v>
      </c>
      <c r="B68" s="25" t="s">
        <v>207</v>
      </c>
      <c r="C68" s="24" t="s">
        <v>206</v>
      </c>
      <c r="D68" s="26">
        <v>285.65499999999997</v>
      </c>
      <c r="E68" s="28"/>
    </row>
    <row r="69" spans="1:5" x14ac:dyDescent="0.3">
      <c r="A69" s="24">
        <v>90585</v>
      </c>
      <c r="B69" s="25" t="s">
        <v>208</v>
      </c>
      <c r="C69" s="24" t="s">
        <v>209</v>
      </c>
      <c r="D69" s="26">
        <v>141.03200000000001</v>
      </c>
      <c r="E69" s="28"/>
    </row>
    <row r="70" spans="1:5" x14ac:dyDescent="0.3">
      <c r="A70" s="24">
        <v>90586</v>
      </c>
      <c r="B70" s="25" t="s">
        <v>210</v>
      </c>
      <c r="C70" s="24" t="s">
        <v>211</v>
      </c>
      <c r="D70" s="26">
        <v>141.03200000000001</v>
      </c>
      <c r="E70" s="28"/>
    </row>
    <row r="71" spans="1:5" x14ac:dyDescent="0.3">
      <c r="A71" s="24">
        <v>90632</v>
      </c>
      <c r="B71" s="25" t="s">
        <v>212</v>
      </c>
      <c r="C71" s="24" t="s">
        <v>204</v>
      </c>
      <c r="D71" s="26">
        <v>59.628999999999998</v>
      </c>
      <c r="E71" s="28"/>
    </row>
    <row r="72" spans="1:5" x14ac:dyDescent="0.3">
      <c r="A72" s="24">
        <v>90653</v>
      </c>
      <c r="B72" s="25" t="s">
        <v>213</v>
      </c>
      <c r="C72" s="24" t="s">
        <v>214</v>
      </c>
      <c r="D72" s="26">
        <v>54.673000000000002</v>
      </c>
      <c r="E72" s="28"/>
    </row>
    <row r="73" spans="1:5" x14ac:dyDescent="0.3">
      <c r="A73" s="24">
        <v>90656</v>
      </c>
      <c r="B73" s="25" t="s">
        <v>215</v>
      </c>
      <c r="C73" s="24" t="s">
        <v>216</v>
      </c>
      <c r="D73" s="26">
        <v>19.773</v>
      </c>
      <c r="E73" s="28"/>
    </row>
    <row r="74" spans="1:5" x14ac:dyDescent="0.3">
      <c r="A74" s="24">
        <v>90662</v>
      </c>
      <c r="B74" s="25" t="s">
        <v>217</v>
      </c>
      <c r="C74" s="24" t="s">
        <v>216</v>
      </c>
      <c r="D74" s="26">
        <v>53.372999999999998</v>
      </c>
      <c r="E74" s="28"/>
    </row>
    <row r="75" spans="1:5" x14ac:dyDescent="0.3">
      <c r="A75" s="24">
        <v>90670</v>
      </c>
      <c r="B75" s="25" t="s">
        <v>218</v>
      </c>
      <c r="C75" s="24" t="s">
        <v>216</v>
      </c>
      <c r="D75" s="26">
        <v>215.333</v>
      </c>
      <c r="E75" s="28"/>
    </row>
    <row r="76" spans="1:5" ht="27" x14ac:dyDescent="0.3">
      <c r="A76" s="31">
        <v>90674</v>
      </c>
      <c r="B76" s="25" t="s">
        <v>219</v>
      </c>
      <c r="C76" s="32" t="s">
        <v>216</v>
      </c>
      <c r="D76" s="26">
        <v>24.047000000000001</v>
      </c>
      <c r="E76" s="28"/>
    </row>
    <row r="77" spans="1:5" x14ac:dyDescent="0.3">
      <c r="A77" s="24">
        <v>90675</v>
      </c>
      <c r="B77" s="25" t="s">
        <v>220</v>
      </c>
      <c r="C77" s="24" t="s">
        <v>204</v>
      </c>
      <c r="D77" s="26">
        <v>294.52999999999997</v>
      </c>
      <c r="E77" s="28"/>
    </row>
    <row r="78" spans="1:5" ht="27" x14ac:dyDescent="0.3">
      <c r="A78" s="24">
        <v>90682</v>
      </c>
      <c r="B78" s="25" t="s">
        <v>221</v>
      </c>
      <c r="C78" s="32" t="s">
        <v>216</v>
      </c>
      <c r="D78" s="26">
        <v>53.372999999999998</v>
      </c>
      <c r="E78" s="28"/>
    </row>
    <row r="79" spans="1:5" ht="27" x14ac:dyDescent="0.3">
      <c r="A79" s="31">
        <v>90685</v>
      </c>
      <c r="B79" s="25" t="s">
        <v>222</v>
      </c>
      <c r="C79" s="31" t="s">
        <v>223</v>
      </c>
      <c r="D79" s="26">
        <v>21.812999999999999</v>
      </c>
      <c r="E79" s="28"/>
    </row>
    <row r="80" spans="1:5" x14ac:dyDescent="0.3">
      <c r="A80" s="31">
        <v>90686</v>
      </c>
      <c r="B80" s="25" t="s">
        <v>224</v>
      </c>
      <c r="C80" s="31" t="s">
        <v>214</v>
      </c>
      <c r="D80" s="26">
        <v>19.032299999999999</v>
      </c>
      <c r="E80" s="28"/>
    </row>
    <row r="81" spans="1:5" x14ac:dyDescent="0.3">
      <c r="A81" s="24">
        <v>90687</v>
      </c>
      <c r="B81" s="25" t="s">
        <v>225</v>
      </c>
      <c r="C81" s="24" t="s">
        <v>226</v>
      </c>
      <c r="D81" s="26">
        <v>9.4030000000000005</v>
      </c>
      <c r="E81" s="28"/>
    </row>
    <row r="82" spans="1:5" x14ac:dyDescent="0.3">
      <c r="A82" s="31">
        <v>90688</v>
      </c>
      <c r="B82" s="25" t="s">
        <v>227</v>
      </c>
      <c r="C82" s="31" t="s">
        <v>216</v>
      </c>
      <c r="D82" s="26">
        <v>17.8353</v>
      </c>
      <c r="E82" s="28"/>
    </row>
    <row r="83" spans="1:5" x14ac:dyDescent="0.3">
      <c r="A83" s="24">
        <v>90691</v>
      </c>
      <c r="B83" s="25" t="s">
        <v>228</v>
      </c>
      <c r="C83" s="24" t="s">
        <v>216</v>
      </c>
      <c r="D83" s="26">
        <v>89.733000000000004</v>
      </c>
      <c r="E83" s="28"/>
    </row>
    <row r="84" spans="1:5" x14ac:dyDescent="0.3">
      <c r="A84" s="24">
        <v>90714</v>
      </c>
      <c r="B84" s="25" t="s">
        <v>229</v>
      </c>
      <c r="C84" s="24" t="s">
        <v>216</v>
      </c>
      <c r="D84" s="26">
        <v>23.617999999999999</v>
      </c>
      <c r="E84" s="28"/>
    </row>
    <row r="85" spans="1:5" x14ac:dyDescent="0.3">
      <c r="A85" s="24">
        <v>90715</v>
      </c>
      <c r="B85" s="25" t="s">
        <v>230</v>
      </c>
      <c r="C85" s="24" t="s">
        <v>216</v>
      </c>
      <c r="D85" s="26">
        <v>32.841000000000001</v>
      </c>
      <c r="E85" s="28"/>
    </row>
    <row r="86" spans="1:5" ht="27" x14ac:dyDescent="0.3">
      <c r="A86" s="24">
        <v>90732</v>
      </c>
      <c r="B86" s="25" t="s">
        <v>231</v>
      </c>
      <c r="C86" s="24" t="s">
        <v>216</v>
      </c>
      <c r="D86" s="26">
        <v>114.211</v>
      </c>
      <c r="E86" s="28"/>
    </row>
    <row r="87" spans="1:5" x14ac:dyDescent="0.3">
      <c r="A87" s="24">
        <v>90739</v>
      </c>
      <c r="B87" s="25" t="s">
        <v>232</v>
      </c>
      <c r="C87" s="24" t="s">
        <v>233</v>
      </c>
      <c r="D87" s="26">
        <v>131.1</v>
      </c>
      <c r="E87" s="28"/>
    </row>
    <row r="88" spans="1:5" ht="27" x14ac:dyDescent="0.3">
      <c r="A88" s="24">
        <v>90740</v>
      </c>
      <c r="B88" s="25" t="s">
        <v>234</v>
      </c>
      <c r="C88" s="24" t="s">
        <v>235</v>
      </c>
      <c r="D88" s="26">
        <v>134.12100000000001</v>
      </c>
      <c r="E88" s="28"/>
    </row>
    <row r="89" spans="1:5" ht="27" x14ac:dyDescent="0.3">
      <c r="A89" s="24">
        <v>90744</v>
      </c>
      <c r="B89" s="25" t="s">
        <v>236</v>
      </c>
      <c r="C89" s="24" t="s">
        <v>237</v>
      </c>
      <c r="D89" s="26">
        <v>26.898</v>
      </c>
      <c r="E89" s="28"/>
    </row>
    <row r="90" spans="1:5" ht="27" x14ac:dyDescent="0.3">
      <c r="A90" s="24">
        <v>90746</v>
      </c>
      <c r="B90" s="25" t="s">
        <v>238</v>
      </c>
      <c r="C90" s="24" t="s">
        <v>239</v>
      </c>
      <c r="D90" s="26">
        <v>67.061000000000007</v>
      </c>
      <c r="E90" s="28"/>
    </row>
    <row r="91" spans="1:5" ht="27" x14ac:dyDescent="0.3">
      <c r="A91" s="24">
        <v>90747</v>
      </c>
      <c r="B91" s="25" t="s">
        <v>240</v>
      </c>
      <c r="C91" s="24" t="s">
        <v>235</v>
      </c>
      <c r="D91" s="26">
        <v>134.12100000000001</v>
      </c>
      <c r="E91" s="28"/>
    </row>
    <row r="92" spans="1:5" x14ac:dyDescent="0.3">
      <c r="A92" s="24">
        <v>90756</v>
      </c>
      <c r="B92" s="25" t="s">
        <v>241</v>
      </c>
      <c r="C92" s="32" t="s">
        <v>216</v>
      </c>
      <c r="D92" s="26">
        <v>22.792999999999999</v>
      </c>
      <c r="E92" s="28"/>
    </row>
    <row r="93" spans="1:5" x14ac:dyDescent="0.3">
      <c r="A93" s="24" t="s">
        <v>242</v>
      </c>
      <c r="B93" s="25" t="s">
        <v>243</v>
      </c>
      <c r="C93" s="24" t="s">
        <v>204</v>
      </c>
      <c r="D93" s="26">
        <v>1.407</v>
      </c>
      <c r="E93" s="28"/>
    </row>
    <row r="94" spans="1:5" x14ac:dyDescent="0.3">
      <c r="A94" s="24" t="s">
        <v>244</v>
      </c>
      <c r="B94" s="25" t="s">
        <v>245</v>
      </c>
      <c r="C94" s="24" t="s">
        <v>204</v>
      </c>
      <c r="D94" s="26">
        <v>1.9359999999999999</v>
      </c>
      <c r="E94" s="28"/>
    </row>
    <row r="95" spans="1:5" x14ac:dyDescent="0.3">
      <c r="A95" s="24" t="s">
        <v>246</v>
      </c>
      <c r="B95" s="25" t="s">
        <v>247</v>
      </c>
      <c r="C95" s="24" t="s">
        <v>204</v>
      </c>
      <c r="D95" s="26">
        <v>1.9259999999999999</v>
      </c>
      <c r="E95" s="28"/>
    </row>
    <row r="96" spans="1:5" ht="27" x14ac:dyDescent="0.3">
      <c r="A96" s="24" t="s">
        <v>248</v>
      </c>
      <c r="B96" s="25" t="s">
        <v>249</v>
      </c>
      <c r="C96" s="24" t="s">
        <v>204</v>
      </c>
      <c r="D96" s="26">
        <v>1.5609999999999999</v>
      </c>
      <c r="E96" s="28"/>
    </row>
    <row r="97" spans="1:5" x14ac:dyDescent="0.3">
      <c r="A97" s="29" t="s">
        <v>250</v>
      </c>
      <c r="B97" s="25" t="s">
        <v>251</v>
      </c>
      <c r="C97" s="29" t="s">
        <v>204</v>
      </c>
      <c r="D97" s="26">
        <v>14.742000000000001</v>
      </c>
      <c r="E97" s="28"/>
    </row>
    <row r="98" spans="1:5" x14ac:dyDescent="0.3">
      <c r="A98" s="24" t="s">
        <v>252</v>
      </c>
      <c r="B98" s="25" t="s">
        <v>253</v>
      </c>
      <c r="C98" s="33" t="s">
        <v>254</v>
      </c>
      <c r="D98" s="26">
        <v>0.374</v>
      </c>
      <c r="E98" s="28"/>
    </row>
    <row r="99" spans="1:5" x14ac:dyDescent="0.3">
      <c r="A99" s="31" t="s">
        <v>255</v>
      </c>
      <c r="B99" s="25" t="s">
        <v>256</v>
      </c>
      <c r="C99" s="31" t="s">
        <v>257</v>
      </c>
      <c r="D99" s="26">
        <v>1139.5</v>
      </c>
      <c r="E99" s="28"/>
    </row>
    <row r="100" spans="1:5" ht="79.2" x14ac:dyDescent="0.3">
      <c r="A100" s="24" t="s">
        <v>258</v>
      </c>
      <c r="B100" s="25" t="s">
        <v>259</v>
      </c>
      <c r="C100" s="33" t="s">
        <v>260</v>
      </c>
      <c r="D100" s="34">
        <v>164.28</v>
      </c>
      <c r="E100" s="5" t="s">
        <v>1538</v>
      </c>
    </row>
    <row r="101" spans="1:5" x14ac:dyDescent="0.3">
      <c r="A101" s="24" t="s">
        <v>261</v>
      </c>
      <c r="B101" s="25" t="s">
        <v>262</v>
      </c>
      <c r="C101" s="33" t="s">
        <v>199</v>
      </c>
      <c r="D101" s="26">
        <v>53.944000000000003</v>
      </c>
      <c r="E101" s="28"/>
    </row>
    <row r="102" spans="1:5" x14ac:dyDescent="0.3">
      <c r="A102" s="24" t="s">
        <v>263</v>
      </c>
      <c r="B102" s="25" t="s">
        <v>264</v>
      </c>
      <c r="C102" s="24" t="s">
        <v>199</v>
      </c>
      <c r="D102" s="26">
        <v>1429.0708</v>
      </c>
      <c r="E102" s="28"/>
    </row>
    <row r="103" spans="1:5" x14ac:dyDescent="0.3">
      <c r="A103" s="24" t="s">
        <v>265</v>
      </c>
      <c r="B103" s="25" t="s">
        <v>266</v>
      </c>
      <c r="C103" s="24" t="s">
        <v>257</v>
      </c>
      <c r="D103" s="26">
        <v>1.3069999999999999</v>
      </c>
      <c r="E103" s="28"/>
    </row>
    <row r="104" spans="1:5" x14ac:dyDescent="0.3">
      <c r="A104" s="24" t="s">
        <v>267</v>
      </c>
      <c r="B104" s="25" t="s">
        <v>268</v>
      </c>
      <c r="C104" s="24" t="s">
        <v>200</v>
      </c>
      <c r="D104" s="26">
        <v>3.9E-2</v>
      </c>
      <c r="E104" s="28"/>
    </row>
    <row r="105" spans="1:5" x14ac:dyDescent="0.3">
      <c r="A105" s="24" t="s">
        <v>269</v>
      </c>
      <c r="B105" s="25" t="s">
        <v>270</v>
      </c>
      <c r="C105" s="24" t="s">
        <v>198</v>
      </c>
      <c r="D105" s="26">
        <v>0.63100000000000001</v>
      </c>
      <c r="E105" s="28"/>
    </row>
    <row r="106" spans="1:5" ht="27" x14ac:dyDescent="0.3">
      <c r="A106" s="24" t="s">
        <v>271</v>
      </c>
      <c r="B106" s="25" t="s">
        <v>272</v>
      </c>
      <c r="C106" s="24" t="s">
        <v>273</v>
      </c>
      <c r="D106" s="26">
        <v>0.86199999999999999</v>
      </c>
      <c r="E106" s="28"/>
    </row>
    <row r="107" spans="1:5" x14ac:dyDescent="0.3">
      <c r="A107" s="24" t="s">
        <v>274</v>
      </c>
      <c r="B107" s="25" t="s">
        <v>275</v>
      </c>
      <c r="C107" s="24" t="s">
        <v>198</v>
      </c>
      <c r="D107" s="26">
        <v>957.36300000000006</v>
      </c>
      <c r="E107" s="28"/>
    </row>
    <row r="108" spans="1:5" x14ac:dyDescent="0.3">
      <c r="A108" s="24" t="s">
        <v>276</v>
      </c>
      <c r="B108" s="25" t="s">
        <v>277</v>
      </c>
      <c r="C108" s="24" t="s">
        <v>198</v>
      </c>
      <c r="D108" s="26">
        <v>182.429</v>
      </c>
      <c r="E108" s="28"/>
    </row>
    <row r="109" spans="1:5" x14ac:dyDescent="0.3">
      <c r="A109" s="31" t="s">
        <v>278</v>
      </c>
      <c r="B109" s="25" t="s">
        <v>279</v>
      </c>
      <c r="C109" s="31" t="s">
        <v>198</v>
      </c>
      <c r="D109" s="26">
        <v>2.226</v>
      </c>
      <c r="E109" s="28"/>
    </row>
    <row r="110" spans="1:5" x14ac:dyDescent="0.3">
      <c r="A110" s="31" t="s">
        <v>280</v>
      </c>
      <c r="B110" s="25" t="s">
        <v>281</v>
      </c>
      <c r="C110" s="31" t="s">
        <v>198</v>
      </c>
      <c r="D110" s="26">
        <v>1918.346</v>
      </c>
      <c r="E110" s="28"/>
    </row>
    <row r="111" spans="1:5" x14ac:dyDescent="0.3">
      <c r="A111" s="24" t="s">
        <v>282</v>
      </c>
      <c r="B111" s="25" t="s">
        <v>283</v>
      </c>
      <c r="C111" s="24" t="s">
        <v>284</v>
      </c>
      <c r="D111" s="26">
        <v>977.31</v>
      </c>
      <c r="E111" s="28"/>
    </row>
    <row r="112" spans="1:5" x14ac:dyDescent="0.3">
      <c r="A112" s="24" t="s">
        <v>285</v>
      </c>
      <c r="B112" s="25" t="s">
        <v>286</v>
      </c>
      <c r="C112" s="24" t="s">
        <v>199</v>
      </c>
      <c r="D112" s="26">
        <v>170.08099999999999</v>
      </c>
      <c r="E112" s="28"/>
    </row>
    <row r="113" spans="1:5" x14ac:dyDescent="0.3">
      <c r="A113" s="24" t="s">
        <v>287</v>
      </c>
      <c r="B113" s="25" t="s">
        <v>288</v>
      </c>
      <c r="C113" s="24" t="s">
        <v>199</v>
      </c>
      <c r="D113" s="26">
        <v>4.5069999999999997</v>
      </c>
      <c r="E113" s="28"/>
    </row>
    <row r="114" spans="1:5" x14ac:dyDescent="0.3">
      <c r="A114" s="24" t="s">
        <v>289</v>
      </c>
      <c r="B114" s="25" t="s">
        <v>290</v>
      </c>
      <c r="C114" s="24" t="s">
        <v>199</v>
      </c>
      <c r="D114" s="26">
        <v>4.8869999999999996</v>
      </c>
      <c r="E114" s="28"/>
    </row>
    <row r="115" spans="1:5" x14ac:dyDescent="0.3">
      <c r="A115" s="24" t="s">
        <v>291</v>
      </c>
      <c r="B115" s="25" t="s">
        <v>292</v>
      </c>
      <c r="C115" s="24" t="s">
        <v>257</v>
      </c>
      <c r="D115" s="26">
        <v>1.21</v>
      </c>
      <c r="E115" s="28"/>
    </row>
    <row r="116" spans="1:5" x14ac:dyDescent="0.3">
      <c r="A116" s="24" t="s">
        <v>293</v>
      </c>
      <c r="B116" s="25" t="s">
        <v>294</v>
      </c>
      <c r="C116" s="24" t="s">
        <v>295</v>
      </c>
      <c r="D116" s="26">
        <v>7.3339999999999996</v>
      </c>
      <c r="E116" s="28"/>
    </row>
    <row r="117" spans="1:5" x14ac:dyDescent="0.3">
      <c r="A117" s="24" t="s">
        <v>296</v>
      </c>
      <c r="B117" s="25" t="s">
        <v>297</v>
      </c>
      <c r="C117" s="24" t="s">
        <v>209</v>
      </c>
      <c r="D117" s="26">
        <v>40.28</v>
      </c>
      <c r="E117" s="28"/>
    </row>
    <row r="118" spans="1:5" ht="27" x14ac:dyDescent="0.3">
      <c r="A118" s="24" t="s">
        <v>298</v>
      </c>
      <c r="B118" s="25" t="s">
        <v>299</v>
      </c>
      <c r="C118" s="24" t="s">
        <v>199</v>
      </c>
      <c r="D118" s="26">
        <v>7.1219999999999999</v>
      </c>
      <c r="E118" s="28"/>
    </row>
    <row r="119" spans="1:5" ht="27" x14ac:dyDescent="0.3">
      <c r="A119" s="24" t="s">
        <v>300</v>
      </c>
      <c r="B119" s="25" t="s">
        <v>301</v>
      </c>
      <c r="C119" s="24" t="s">
        <v>199</v>
      </c>
      <c r="D119" s="26">
        <v>18.324999999999999</v>
      </c>
      <c r="E119" s="28"/>
    </row>
    <row r="120" spans="1:5" x14ac:dyDescent="0.3">
      <c r="A120" s="24" t="s">
        <v>302</v>
      </c>
      <c r="B120" s="25" t="s">
        <v>303</v>
      </c>
      <c r="C120" s="24" t="s">
        <v>284</v>
      </c>
      <c r="D120" s="26">
        <v>0.92100000000000004</v>
      </c>
      <c r="E120" s="28"/>
    </row>
    <row r="121" spans="1:5" ht="27" x14ac:dyDescent="0.3">
      <c r="A121" s="24" t="s">
        <v>304</v>
      </c>
      <c r="B121" s="25" t="s">
        <v>305</v>
      </c>
      <c r="C121" s="24" t="s">
        <v>306</v>
      </c>
      <c r="D121" s="26">
        <v>3.3170000000000002</v>
      </c>
      <c r="E121" s="28"/>
    </row>
    <row r="122" spans="1:5" x14ac:dyDescent="0.3">
      <c r="A122" s="24" t="s">
        <v>307</v>
      </c>
      <c r="B122" s="25" t="s">
        <v>308</v>
      </c>
      <c r="C122" s="24" t="s">
        <v>198</v>
      </c>
      <c r="D122" s="26">
        <v>0.54900000000000004</v>
      </c>
      <c r="E122" s="28"/>
    </row>
    <row r="123" spans="1:5" x14ac:dyDescent="0.3">
      <c r="A123" s="24" t="s">
        <v>309</v>
      </c>
      <c r="B123" s="25" t="s">
        <v>310</v>
      </c>
      <c r="C123" s="24" t="s">
        <v>311</v>
      </c>
      <c r="D123" s="26">
        <v>4.0670000000000002</v>
      </c>
      <c r="E123" s="28"/>
    </row>
    <row r="124" spans="1:5" x14ac:dyDescent="0.3">
      <c r="A124" s="24" t="s">
        <v>312</v>
      </c>
      <c r="B124" s="25" t="s">
        <v>313</v>
      </c>
      <c r="C124" s="24" t="s">
        <v>198</v>
      </c>
      <c r="D124" s="26">
        <v>5.4489999999999998</v>
      </c>
      <c r="E124" s="28"/>
    </row>
    <row r="125" spans="1:5" x14ac:dyDescent="0.3">
      <c r="A125" s="24" t="s">
        <v>314</v>
      </c>
      <c r="B125" s="25" t="s">
        <v>315</v>
      </c>
      <c r="C125" s="24" t="s">
        <v>284</v>
      </c>
      <c r="D125" s="26">
        <v>2.7519999999999998</v>
      </c>
      <c r="E125" s="28"/>
    </row>
    <row r="126" spans="1:5" x14ac:dyDescent="0.3">
      <c r="A126" s="24" t="s">
        <v>316</v>
      </c>
      <c r="B126" s="25" t="s">
        <v>317</v>
      </c>
      <c r="C126" s="24" t="s">
        <v>318</v>
      </c>
      <c r="D126" s="26">
        <v>6.7000000000000004E-2</v>
      </c>
      <c r="E126" s="28"/>
    </row>
    <row r="127" spans="1:5" x14ac:dyDescent="0.3">
      <c r="A127" s="24" t="s">
        <v>319</v>
      </c>
      <c r="B127" s="25" t="s">
        <v>320</v>
      </c>
      <c r="C127" s="24" t="s">
        <v>257</v>
      </c>
      <c r="D127" s="26">
        <v>54.277000000000001</v>
      </c>
      <c r="E127" s="28"/>
    </row>
    <row r="128" spans="1:5" x14ac:dyDescent="0.3">
      <c r="A128" s="24" t="s">
        <v>321</v>
      </c>
      <c r="B128" s="25" t="s">
        <v>322</v>
      </c>
      <c r="C128" s="24" t="s">
        <v>199</v>
      </c>
      <c r="D128" s="26">
        <v>173.38900000000001</v>
      </c>
      <c r="E128" s="28"/>
    </row>
    <row r="129" spans="1:5" x14ac:dyDescent="0.3">
      <c r="A129" s="24" t="s">
        <v>323</v>
      </c>
      <c r="B129" s="25" t="s">
        <v>324</v>
      </c>
      <c r="C129" s="24" t="s">
        <v>325</v>
      </c>
      <c r="D129" s="26">
        <v>50.441000000000003</v>
      </c>
      <c r="E129" s="28"/>
    </row>
    <row r="130" spans="1:5" x14ac:dyDescent="0.3">
      <c r="A130" s="24" t="s">
        <v>326</v>
      </c>
      <c r="B130" s="25" t="s">
        <v>327</v>
      </c>
      <c r="C130" s="24" t="s">
        <v>311</v>
      </c>
      <c r="D130" s="26">
        <v>3789.6260000000002</v>
      </c>
      <c r="E130" s="28"/>
    </row>
    <row r="131" spans="1:5" x14ac:dyDescent="0.3">
      <c r="A131" s="24" t="s">
        <v>328</v>
      </c>
      <c r="B131" s="25" t="s">
        <v>329</v>
      </c>
      <c r="C131" s="24" t="s">
        <v>198</v>
      </c>
      <c r="D131" s="26">
        <v>3.7839999999999998</v>
      </c>
      <c r="E131" s="28"/>
    </row>
    <row r="132" spans="1:5" x14ac:dyDescent="0.3">
      <c r="A132" s="29" t="s">
        <v>330</v>
      </c>
      <c r="B132" s="25" t="s">
        <v>331</v>
      </c>
      <c r="C132" s="29" t="s">
        <v>199</v>
      </c>
      <c r="D132" s="26">
        <v>44.823999999999998</v>
      </c>
      <c r="E132" s="28"/>
    </row>
    <row r="133" spans="1:5" x14ac:dyDescent="0.3">
      <c r="A133" s="24" t="s">
        <v>332</v>
      </c>
      <c r="B133" s="25" t="s">
        <v>333</v>
      </c>
      <c r="C133" s="24" t="s">
        <v>311</v>
      </c>
      <c r="D133" s="26">
        <v>69.974000000000004</v>
      </c>
      <c r="E133" s="28"/>
    </row>
    <row r="134" spans="1:5" x14ac:dyDescent="0.3">
      <c r="A134" s="24" t="s">
        <v>334</v>
      </c>
      <c r="B134" s="25" t="s">
        <v>335</v>
      </c>
      <c r="C134" s="24" t="s">
        <v>198</v>
      </c>
      <c r="D134" s="26">
        <v>19.893999999999998</v>
      </c>
      <c r="E134" s="28"/>
    </row>
    <row r="135" spans="1:5" x14ac:dyDescent="0.3">
      <c r="A135" s="31" t="s">
        <v>336</v>
      </c>
      <c r="B135" s="25" t="s">
        <v>337</v>
      </c>
      <c r="C135" s="31" t="s">
        <v>198</v>
      </c>
      <c r="D135" s="26">
        <v>168.84</v>
      </c>
      <c r="E135" s="28"/>
    </row>
    <row r="136" spans="1:5" ht="27" x14ac:dyDescent="0.3">
      <c r="A136" s="24" t="s">
        <v>338</v>
      </c>
      <c r="B136" s="25" t="s">
        <v>339</v>
      </c>
      <c r="C136" s="24" t="s">
        <v>340</v>
      </c>
      <c r="D136" s="26">
        <v>11.019</v>
      </c>
      <c r="E136" s="28"/>
    </row>
    <row r="137" spans="1:5" x14ac:dyDescent="0.3">
      <c r="A137" s="24" t="s">
        <v>341</v>
      </c>
      <c r="B137" s="25" t="s">
        <v>342</v>
      </c>
      <c r="C137" s="24" t="s">
        <v>340</v>
      </c>
      <c r="D137" s="26">
        <v>13.845000000000001</v>
      </c>
      <c r="E137" s="28"/>
    </row>
    <row r="138" spans="1:5" x14ac:dyDescent="0.3">
      <c r="A138" s="31" t="s">
        <v>343</v>
      </c>
      <c r="B138" s="25" t="s">
        <v>344</v>
      </c>
      <c r="C138" s="31" t="s">
        <v>199</v>
      </c>
      <c r="D138" s="26">
        <v>39.898000000000003</v>
      </c>
      <c r="E138" s="28"/>
    </row>
    <row r="139" spans="1:5" ht="27" x14ac:dyDescent="0.3">
      <c r="A139" s="24" t="s">
        <v>345</v>
      </c>
      <c r="B139" s="25" t="s">
        <v>346</v>
      </c>
      <c r="C139" s="24" t="s">
        <v>347</v>
      </c>
      <c r="D139" s="26">
        <v>1261.8710000000001</v>
      </c>
      <c r="E139" s="28"/>
    </row>
    <row r="140" spans="1:5" x14ac:dyDescent="0.3">
      <c r="A140" s="24" t="s">
        <v>348</v>
      </c>
      <c r="B140" s="25" t="s">
        <v>349</v>
      </c>
      <c r="C140" s="24" t="s">
        <v>198</v>
      </c>
      <c r="D140" s="26">
        <v>0.53200000000000003</v>
      </c>
      <c r="E140" s="28"/>
    </row>
    <row r="141" spans="1:5" ht="27" x14ac:dyDescent="0.3">
      <c r="A141" s="24" t="s">
        <v>350</v>
      </c>
      <c r="B141" s="25" t="s">
        <v>351</v>
      </c>
      <c r="C141" s="24" t="s">
        <v>198</v>
      </c>
      <c r="D141" s="26">
        <v>353.05500000000001</v>
      </c>
      <c r="E141" s="28"/>
    </row>
    <row r="142" spans="1:5" ht="27" x14ac:dyDescent="0.3">
      <c r="A142" s="24" t="s">
        <v>352</v>
      </c>
      <c r="B142" s="25" t="s">
        <v>353</v>
      </c>
      <c r="C142" s="24" t="s">
        <v>354</v>
      </c>
      <c r="D142" s="26">
        <v>6.1239999999999997</v>
      </c>
      <c r="E142" s="28"/>
    </row>
    <row r="143" spans="1:5" x14ac:dyDescent="0.3">
      <c r="A143" s="29" t="s">
        <v>355</v>
      </c>
      <c r="B143" s="25" t="s">
        <v>356</v>
      </c>
      <c r="C143" s="24" t="s">
        <v>357</v>
      </c>
      <c r="D143" s="26">
        <v>8.4190000000000005</v>
      </c>
      <c r="E143" s="28"/>
    </row>
    <row r="144" spans="1:5" x14ac:dyDescent="0.3">
      <c r="A144" s="24" t="s">
        <v>358</v>
      </c>
      <c r="B144" s="25" t="s">
        <v>359</v>
      </c>
      <c r="C144" s="24" t="s">
        <v>360</v>
      </c>
      <c r="D144" s="26">
        <v>12.019</v>
      </c>
      <c r="E144" s="28"/>
    </row>
    <row r="145" spans="1:5" x14ac:dyDescent="0.3">
      <c r="A145" s="24" t="s">
        <v>361</v>
      </c>
      <c r="B145" s="25" t="s">
        <v>362</v>
      </c>
      <c r="C145" s="29" t="s">
        <v>354</v>
      </c>
      <c r="D145" s="26">
        <v>5.0510000000000002</v>
      </c>
      <c r="E145" s="28"/>
    </row>
    <row r="146" spans="1:5" ht="27" x14ac:dyDescent="0.3">
      <c r="A146" s="24" t="s">
        <v>363</v>
      </c>
      <c r="B146" s="25" t="s">
        <v>364</v>
      </c>
      <c r="C146" s="24" t="s">
        <v>273</v>
      </c>
      <c r="D146" s="26">
        <v>4.359</v>
      </c>
      <c r="E146" s="28"/>
    </row>
    <row r="147" spans="1:5" x14ac:dyDescent="0.3">
      <c r="A147" s="24" t="s">
        <v>365</v>
      </c>
      <c r="B147" s="25" t="s">
        <v>366</v>
      </c>
      <c r="C147" s="24" t="s">
        <v>198</v>
      </c>
      <c r="D147" s="26">
        <v>5.7779999999999996</v>
      </c>
      <c r="E147" s="28"/>
    </row>
    <row r="148" spans="1:5" x14ac:dyDescent="0.3">
      <c r="A148" s="24" t="s">
        <v>367</v>
      </c>
      <c r="B148" s="25" t="s">
        <v>368</v>
      </c>
      <c r="C148" s="24" t="s">
        <v>198</v>
      </c>
      <c r="D148" s="26">
        <v>2.2629999999999999</v>
      </c>
      <c r="E148" s="28"/>
    </row>
    <row r="149" spans="1:5" x14ac:dyDescent="0.3">
      <c r="A149" s="24" t="s">
        <v>369</v>
      </c>
      <c r="B149" s="25" t="s">
        <v>370</v>
      </c>
      <c r="C149" s="24" t="s">
        <v>371</v>
      </c>
      <c r="D149" s="26">
        <v>27.817</v>
      </c>
      <c r="E149" s="28"/>
    </row>
    <row r="150" spans="1:5" x14ac:dyDescent="0.3">
      <c r="A150" s="24" t="s">
        <v>372</v>
      </c>
      <c r="B150" s="25" t="s">
        <v>373</v>
      </c>
      <c r="C150" s="24" t="s">
        <v>371</v>
      </c>
      <c r="D150" s="26">
        <v>51.353999999999999</v>
      </c>
      <c r="E150" s="28"/>
    </row>
    <row r="151" spans="1:5" x14ac:dyDescent="0.3">
      <c r="A151" s="24" t="s">
        <v>374</v>
      </c>
      <c r="B151" s="25" t="s">
        <v>375</v>
      </c>
      <c r="C151" s="29" t="s">
        <v>371</v>
      </c>
      <c r="D151" s="26">
        <v>57.16</v>
      </c>
      <c r="E151" s="28"/>
    </row>
    <row r="152" spans="1:5" ht="27" x14ac:dyDescent="0.3">
      <c r="A152" s="24" t="s">
        <v>376</v>
      </c>
      <c r="B152" s="25" t="s">
        <v>377</v>
      </c>
      <c r="C152" s="24" t="s">
        <v>378</v>
      </c>
      <c r="D152" s="26">
        <v>5594.4219999999996</v>
      </c>
      <c r="E152" s="28"/>
    </row>
    <row r="153" spans="1:5" x14ac:dyDescent="0.3">
      <c r="A153" s="24" t="s">
        <v>379</v>
      </c>
      <c r="B153" s="25" t="s">
        <v>380</v>
      </c>
      <c r="C153" s="24" t="s">
        <v>381</v>
      </c>
      <c r="D153" s="26">
        <v>3.51</v>
      </c>
      <c r="E153" s="28"/>
    </row>
    <row r="154" spans="1:5" x14ac:dyDescent="0.3">
      <c r="A154" s="24" t="s">
        <v>382</v>
      </c>
      <c r="B154" s="25" t="s">
        <v>383</v>
      </c>
      <c r="C154" s="24" t="s">
        <v>384</v>
      </c>
      <c r="D154" s="26">
        <v>2647.2620000000002</v>
      </c>
      <c r="E154" s="28"/>
    </row>
    <row r="155" spans="1:5" x14ac:dyDescent="0.3">
      <c r="A155" s="24" t="s">
        <v>385</v>
      </c>
      <c r="B155" s="25" t="s">
        <v>386</v>
      </c>
      <c r="C155" s="24" t="s">
        <v>387</v>
      </c>
      <c r="D155" s="26">
        <v>0.72345000000000004</v>
      </c>
      <c r="E155" s="28"/>
    </row>
    <row r="156" spans="1:5" x14ac:dyDescent="0.3">
      <c r="A156" s="24" t="s">
        <v>388</v>
      </c>
      <c r="B156" s="25" t="s">
        <v>389</v>
      </c>
      <c r="C156" s="24" t="s">
        <v>200</v>
      </c>
      <c r="D156" s="26">
        <v>9.8079999999999998</v>
      </c>
      <c r="E156" s="28"/>
    </row>
    <row r="157" spans="1:5" x14ac:dyDescent="0.3">
      <c r="A157" s="24" t="s">
        <v>390</v>
      </c>
      <c r="B157" s="25" t="s">
        <v>391</v>
      </c>
      <c r="C157" s="24" t="s">
        <v>198</v>
      </c>
      <c r="D157" s="26">
        <v>111.012</v>
      </c>
      <c r="E157" s="28"/>
    </row>
    <row r="158" spans="1:5" x14ac:dyDescent="0.3">
      <c r="A158" s="24" t="s">
        <v>397</v>
      </c>
      <c r="B158" s="25" t="s">
        <v>398</v>
      </c>
      <c r="C158" s="24" t="s">
        <v>381</v>
      </c>
      <c r="D158" s="26">
        <v>2.0019999999999998</v>
      </c>
      <c r="E158" s="28"/>
    </row>
    <row r="159" spans="1:5" x14ac:dyDescent="0.3">
      <c r="A159" s="24" t="s">
        <v>399</v>
      </c>
      <c r="B159" s="25" t="s">
        <v>400</v>
      </c>
      <c r="C159" s="24" t="s">
        <v>284</v>
      </c>
      <c r="D159" s="26">
        <v>0.752</v>
      </c>
      <c r="E159" s="28"/>
    </row>
    <row r="160" spans="1:5" x14ac:dyDescent="0.3">
      <c r="A160" s="24" t="s">
        <v>401</v>
      </c>
      <c r="B160" s="25" t="s">
        <v>402</v>
      </c>
      <c r="C160" s="24" t="s">
        <v>284</v>
      </c>
      <c r="D160" s="26">
        <v>1.8759999999999999</v>
      </c>
      <c r="E160" s="28"/>
    </row>
    <row r="161" spans="1:5" x14ac:dyDescent="0.3">
      <c r="A161" s="24" t="s">
        <v>403</v>
      </c>
      <c r="B161" s="25" t="s">
        <v>404</v>
      </c>
      <c r="C161" s="24" t="s">
        <v>405</v>
      </c>
      <c r="D161" s="26">
        <v>4.9630000000000001</v>
      </c>
      <c r="E161" s="28"/>
    </row>
    <row r="162" spans="1:5" x14ac:dyDescent="0.3">
      <c r="A162" s="31" t="s">
        <v>406</v>
      </c>
      <c r="B162" s="25" t="s">
        <v>407</v>
      </c>
      <c r="C162" s="31" t="s">
        <v>408</v>
      </c>
      <c r="D162" s="26">
        <v>5.5890000000000004</v>
      </c>
      <c r="E162" s="28"/>
    </row>
    <row r="163" spans="1:5" ht="27" x14ac:dyDescent="0.3">
      <c r="A163" s="24" t="s">
        <v>409</v>
      </c>
      <c r="B163" s="25" t="s">
        <v>410</v>
      </c>
      <c r="C163" s="24" t="s">
        <v>295</v>
      </c>
      <c r="D163" s="26">
        <v>0.48799999999999999</v>
      </c>
      <c r="E163" s="28"/>
    </row>
    <row r="164" spans="1:5" x14ac:dyDescent="0.3">
      <c r="A164" s="24" t="s">
        <v>411</v>
      </c>
      <c r="B164" s="25" t="s">
        <v>412</v>
      </c>
      <c r="C164" s="24" t="s">
        <v>413</v>
      </c>
      <c r="D164" s="26">
        <v>1.8320000000000001</v>
      </c>
      <c r="E164" s="28"/>
    </row>
    <row r="165" spans="1:5" ht="27" x14ac:dyDescent="0.3">
      <c r="A165" s="24" t="s">
        <v>414</v>
      </c>
      <c r="B165" s="25" t="s">
        <v>415</v>
      </c>
      <c r="C165" s="24" t="s">
        <v>405</v>
      </c>
      <c r="D165" s="26">
        <v>2.3320000000000003</v>
      </c>
      <c r="E165" s="28"/>
    </row>
    <row r="166" spans="1:5" ht="27" x14ac:dyDescent="0.3">
      <c r="A166" s="24" t="s">
        <v>416</v>
      </c>
      <c r="B166" s="25" t="s">
        <v>417</v>
      </c>
      <c r="C166" s="24" t="s">
        <v>418</v>
      </c>
      <c r="D166" s="26">
        <v>6.91</v>
      </c>
      <c r="E166" s="28"/>
    </row>
    <row r="167" spans="1:5" x14ac:dyDescent="0.3">
      <c r="A167" s="24" t="s">
        <v>419</v>
      </c>
      <c r="B167" s="25" t="s">
        <v>420</v>
      </c>
      <c r="C167" s="24" t="s">
        <v>199</v>
      </c>
      <c r="D167" s="26">
        <v>3.1619999999999999</v>
      </c>
      <c r="E167" s="28"/>
    </row>
    <row r="168" spans="1:5" x14ac:dyDescent="0.3">
      <c r="A168" s="24" t="s">
        <v>421</v>
      </c>
      <c r="B168" s="25" t="s">
        <v>422</v>
      </c>
      <c r="C168" s="24" t="s">
        <v>284</v>
      </c>
      <c r="D168" s="26">
        <v>2.004</v>
      </c>
      <c r="E168" s="28"/>
    </row>
    <row r="169" spans="1:5" x14ac:dyDescent="0.3">
      <c r="A169" s="24" t="s">
        <v>423</v>
      </c>
      <c r="B169" s="25" t="s">
        <v>424</v>
      </c>
      <c r="C169" s="24" t="s">
        <v>425</v>
      </c>
      <c r="D169" s="26">
        <v>91.134</v>
      </c>
      <c r="E169" s="28"/>
    </row>
    <row r="170" spans="1:5" ht="27" x14ac:dyDescent="0.3">
      <c r="A170" s="24" t="s">
        <v>428</v>
      </c>
      <c r="B170" s="25" t="s">
        <v>429</v>
      </c>
      <c r="C170" s="24" t="s">
        <v>405</v>
      </c>
      <c r="D170" s="26">
        <v>38.332999999999998</v>
      </c>
      <c r="E170" s="28"/>
    </row>
    <row r="171" spans="1:5" ht="27" x14ac:dyDescent="0.3">
      <c r="A171" s="24" t="s">
        <v>430</v>
      </c>
      <c r="B171" s="25" t="s">
        <v>431</v>
      </c>
      <c r="C171" s="24" t="s">
        <v>432</v>
      </c>
      <c r="D171" s="26">
        <v>22.37</v>
      </c>
      <c r="E171" s="28"/>
    </row>
    <row r="172" spans="1:5" x14ac:dyDescent="0.3">
      <c r="A172" s="24" t="s">
        <v>433</v>
      </c>
      <c r="B172" s="25" t="s">
        <v>434</v>
      </c>
      <c r="C172" s="24" t="s">
        <v>198</v>
      </c>
      <c r="D172" s="26">
        <v>11.569000000000001</v>
      </c>
      <c r="E172" s="28"/>
    </row>
    <row r="173" spans="1:5" x14ac:dyDescent="0.3">
      <c r="A173" s="24" t="s">
        <v>435</v>
      </c>
      <c r="B173" s="25" t="s">
        <v>436</v>
      </c>
      <c r="C173" s="24" t="s">
        <v>437</v>
      </c>
      <c r="D173" s="26">
        <v>643.29300000000001</v>
      </c>
      <c r="E173" s="28"/>
    </row>
    <row r="174" spans="1:5" x14ac:dyDescent="0.3">
      <c r="A174" s="24" t="s">
        <v>438</v>
      </c>
      <c r="B174" s="25" t="s">
        <v>439</v>
      </c>
      <c r="C174" s="24" t="s">
        <v>295</v>
      </c>
      <c r="D174" s="26">
        <v>5.85</v>
      </c>
      <c r="E174" s="28"/>
    </row>
    <row r="175" spans="1:5" x14ac:dyDescent="0.3">
      <c r="A175" s="24" t="s">
        <v>440</v>
      </c>
      <c r="B175" s="25" t="s">
        <v>441</v>
      </c>
      <c r="C175" s="24" t="s">
        <v>442</v>
      </c>
      <c r="D175" s="26">
        <v>1.3089999999999999</v>
      </c>
      <c r="E175" s="28"/>
    </row>
    <row r="176" spans="1:5" x14ac:dyDescent="0.3">
      <c r="A176" s="24" t="s">
        <v>443</v>
      </c>
      <c r="B176" s="25" t="s">
        <v>444</v>
      </c>
      <c r="C176" s="24" t="s">
        <v>445</v>
      </c>
      <c r="D176" s="26">
        <v>19.241</v>
      </c>
      <c r="E176" s="28"/>
    </row>
    <row r="177" spans="1:5" x14ac:dyDescent="0.3">
      <c r="A177" s="24" t="s">
        <v>446</v>
      </c>
      <c r="B177" s="25" t="s">
        <v>447</v>
      </c>
      <c r="C177" s="24" t="s">
        <v>318</v>
      </c>
      <c r="D177" s="26">
        <v>47.088999999999999</v>
      </c>
      <c r="E177" s="28"/>
    </row>
    <row r="178" spans="1:5" x14ac:dyDescent="0.3">
      <c r="A178" s="24" t="s">
        <v>448</v>
      </c>
      <c r="B178" s="25" t="s">
        <v>449</v>
      </c>
      <c r="C178" s="24" t="s">
        <v>199</v>
      </c>
      <c r="D178" s="26">
        <v>10.339</v>
      </c>
      <c r="E178" s="28"/>
    </row>
    <row r="179" spans="1:5" x14ac:dyDescent="0.3">
      <c r="A179" s="24" t="s">
        <v>450</v>
      </c>
      <c r="B179" s="25" t="s">
        <v>451</v>
      </c>
      <c r="C179" s="24" t="s">
        <v>452</v>
      </c>
      <c r="D179" s="26">
        <v>9.0449999999999999</v>
      </c>
      <c r="E179" s="28"/>
    </row>
    <row r="180" spans="1:5" x14ac:dyDescent="0.3">
      <c r="A180" s="24" t="s">
        <v>453</v>
      </c>
      <c r="B180" s="25" t="s">
        <v>454</v>
      </c>
      <c r="C180" s="24" t="s">
        <v>455</v>
      </c>
      <c r="D180" s="26">
        <v>3962.17</v>
      </c>
      <c r="E180" s="28"/>
    </row>
    <row r="181" spans="1:5" x14ac:dyDescent="0.3">
      <c r="A181" s="24" t="s">
        <v>456</v>
      </c>
      <c r="B181" s="25" t="s">
        <v>457</v>
      </c>
      <c r="C181" s="24" t="s">
        <v>458</v>
      </c>
      <c r="D181" s="26">
        <v>44.08</v>
      </c>
      <c r="E181" s="28"/>
    </row>
    <row r="182" spans="1:5" x14ac:dyDescent="0.3">
      <c r="A182" s="29" t="s">
        <v>459</v>
      </c>
      <c r="B182" s="25" t="s">
        <v>460</v>
      </c>
      <c r="C182" s="24" t="s">
        <v>461</v>
      </c>
      <c r="D182" s="26">
        <v>3237.0050000000001</v>
      </c>
      <c r="E182" s="28"/>
    </row>
    <row r="183" spans="1:5" ht="27" x14ac:dyDescent="0.3">
      <c r="A183" s="24" t="s">
        <v>462</v>
      </c>
      <c r="B183" s="25" t="s">
        <v>463</v>
      </c>
      <c r="C183" s="24" t="s">
        <v>464</v>
      </c>
      <c r="D183" s="26">
        <v>1129.154</v>
      </c>
      <c r="E183" s="28"/>
    </row>
    <row r="184" spans="1:5" x14ac:dyDescent="0.3">
      <c r="A184" s="31" t="s">
        <v>465</v>
      </c>
      <c r="B184" s="25" t="s">
        <v>466</v>
      </c>
      <c r="C184" s="31" t="s">
        <v>200</v>
      </c>
      <c r="D184" s="26">
        <v>14.615</v>
      </c>
      <c r="E184" s="28"/>
    </row>
    <row r="185" spans="1:5" x14ac:dyDescent="0.3">
      <c r="A185" s="24" t="s">
        <v>467</v>
      </c>
      <c r="B185" s="25" t="s">
        <v>468</v>
      </c>
      <c r="C185" s="24" t="s">
        <v>198</v>
      </c>
      <c r="D185" s="26">
        <v>0.35</v>
      </c>
      <c r="E185" s="28"/>
    </row>
    <row r="186" spans="1:5" x14ac:dyDescent="0.3">
      <c r="A186" s="24" t="s">
        <v>469</v>
      </c>
      <c r="B186" s="25" t="s">
        <v>470</v>
      </c>
      <c r="C186" s="24" t="s">
        <v>452</v>
      </c>
      <c r="D186" s="26">
        <v>3.827</v>
      </c>
      <c r="E186" s="28"/>
    </row>
    <row r="187" spans="1:5" x14ac:dyDescent="0.3">
      <c r="A187" s="24" t="s">
        <v>471</v>
      </c>
      <c r="B187" s="25" t="s">
        <v>472</v>
      </c>
      <c r="C187" s="24" t="s">
        <v>452</v>
      </c>
      <c r="D187" s="26">
        <v>3.827</v>
      </c>
      <c r="E187" s="28"/>
    </row>
    <row r="188" spans="1:5" x14ac:dyDescent="0.3">
      <c r="A188" s="24" t="s">
        <v>473</v>
      </c>
      <c r="B188" s="25" t="s">
        <v>474</v>
      </c>
      <c r="C188" s="24" t="s">
        <v>432</v>
      </c>
      <c r="D188" s="26">
        <v>11.462</v>
      </c>
      <c r="E188" s="28"/>
    </row>
    <row r="189" spans="1:5" x14ac:dyDescent="0.3">
      <c r="A189" s="24" t="s">
        <v>475</v>
      </c>
      <c r="B189" s="25" t="s">
        <v>476</v>
      </c>
      <c r="C189" s="32" t="s">
        <v>452</v>
      </c>
      <c r="D189" s="26">
        <v>1.65</v>
      </c>
      <c r="E189" s="28"/>
    </row>
    <row r="190" spans="1:5" x14ac:dyDescent="0.3">
      <c r="A190" s="24" t="s">
        <v>477</v>
      </c>
      <c r="B190" s="25" t="s">
        <v>478</v>
      </c>
      <c r="C190" s="32" t="s">
        <v>452</v>
      </c>
      <c r="D190" s="26">
        <v>1.65</v>
      </c>
      <c r="E190" s="28"/>
    </row>
    <row r="191" spans="1:5" x14ac:dyDescent="0.3">
      <c r="A191" s="24" t="s">
        <v>479</v>
      </c>
      <c r="B191" s="25" t="s">
        <v>480</v>
      </c>
      <c r="C191" s="24" t="s">
        <v>198</v>
      </c>
      <c r="D191" s="26">
        <v>7.4589999999999996</v>
      </c>
      <c r="E191" s="28"/>
    </row>
    <row r="192" spans="1:5" x14ac:dyDescent="0.3">
      <c r="A192" s="24" t="s">
        <v>481</v>
      </c>
      <c r="B192" s="25" t="s">
        <v>482</v>
      </c>
      <c r="C192" s="24" t="s">
        <v>284</v>
      </c>
      <c r="D192" s="26">
        <v>8.2050000000000001</v>
      </c>
      <c r="E192" s="28"/>
    </row>
    <row r="193" spans="1:5" ht="27" x14ac:dyDescent="0.3">
      <c r="A193" s="24" t="s">
        <v>485</v>
      </c>
      <c r="B193" s="25" t="s">
        <v>486</v>
      </c>
      <c r="C193" s="24" t="s">
        <v>200</v>
      </c>
      <c r="D193" s="26">
        <v>21.957999999999998</v>
      </c>
      <c r="E193" s="28"/>
    </row>
    <row r="194" spans="1:5" x14ac:dyDescent="0.3">
      <c r="A194" s="24" t="s">
        <v>497</v>
      </c>
      <c r="B194" s="25" t="s">
        <v>498</v>
      </c>
      <c r="C194" s="24" t="s">
        <v>198</v>
      </c>
      <c r="D194" s="26">
        <v>2.7E-2</v>
      </c>
      <c r="E194" s="28"/>
    </row>
    <row r="195" spans="1:5" ht="27" x14ac:dyDescent="0.3">
      <c r="A195" s="24" t="s">
        <v>499</v>
      </c>
      <c r="B195" s="25" t="s">
        <v>500</v>
      </c>
      <c r="C195" s="24" t="s">
        <v>198</v>
      </c>
      <c r="D195" s="26">
        <v>0.124</v>
      </c>
      <c r="E195" s="28"/>
    </row>
    <row r="196" spans="1:5" ht="27" x14ac:dyDescent="0.3">
      <c r="A196" s="24" t="s">
        <v>501</v>
      </c>
      <c r="B196" s="25" t="s">
        <v>502</v>
      </c>
      <c r="C196" s="24" t="s">
        <v>198</v>
      </c>
      <c r="D196" s="26">
        <v>57.286999999999999</v>
      </c>
      <c r="E196" s="28"/>
    </row>
    <row r="197" spans="1:5" ht="27" x14ac:dyDescent="0.3">
      <c r="A197" s="24" t="s">
        <v>503</v>
      </c>
      <c r="B197" s="25" t="s">
        <v>504</v>
      </c>
      <c r="C197" s="24" t="s">
        <v>284</v>
      </c>
      <c r="D197" s="26">
        <v>15.507</v>
      </c>
      <c r="E197" s="28"/>
    </row>
    <row r="198" spans="1:5" x14ac:dyDescent="0.3">
      <c r="A198" s="24" t="s">
        <v>505</v>
      </c>
      <c r="B198" s="25" t="s">
        <v>506</v>
      </c>
      <c r="C198" s="24" t="s">
        <v>396</v>
      </c>
      <c r="D198" s="26">
        <v>5.2140000000000004</v>
      </c>
      <c r="E198" s="28"/>
    </row>
    <row r="199" spans="1:5" x14ac:dyDescent="0.3">
      <c r="A199" s="24" t="s">
        <v>507</v>
      </c>
      <c r="B199" s="25" t="s">
        <v>508</v>
      </c>
      <c r="C199" s="24" t="s">
        <v>464</v>
      </c>
      <c r="D199" s="26">
        <v>3780.259</v>
      </c>
      <c r="E199" s="28"/>
    </row>
    <row r="200" spans="1:5" x14ac:dyDescent="0.3">
      <c r="A200" s="24" t="s">
        <v>509</v>
      </c>
      <c r="B200" s="25" t="s">
        <v>510</v>
      </c>
      <c r="C200" s="24" t="s">
        <v>209</v>
      </c>
      <c r="D200" s="26">
        <v>0.754</v>
      </c>
      <c r="E200" s="28"/>
    </row>
    <row r="201" spans="1:5" x14ac:dyDescent="0.3">
      <c r="A201" s="24" t="s">
        <v>511</v>
      </c>
      <c r="B201" s="25" t="s">
        <v>512</v>
      </c>
      <c r="C201" s="24" t="s">
        <v>513</v>
      </c>
      <c r="D201" s="26">
        <v>4.1950000000000003</v>
      </c>
      <c r="E201" s="28"/>
    </row>
    <row r="202" spans="1:5" x14ac:dyDescent="0.3">
      <c r="A202" s="24" t="s">
        <v>514</v>
      </c>
      <c r="B202" s="25" t="s">
        <v>515</v>
      </c>
      <c r="C202" s="24" t="s">
        <v>295</v>
      </c>
      <c r="D202" s="26">
        <v>194.715</v>
      </c>
      <c r="E202" s="28"/>
    </row>
    <row r="203" spans="1:5" ht="27" x14ac:dyDescent="0.3">
      <c r="A203" s="24" t="s">
        <v>516</v>
      </c>
      <c r="B203" s="25" t="s">
        <v>517</v>
      </c>
      <c r="C203" s="24" t="s">
        <v>209</v>
      </c>
      <c r="D203" s="26">
        <v>0.86199999999999999</v>
      </c>
      <c r="E203" s="28"/>
    </row>
    <row r="204" spans="1:5" x14ac:dyDescent="0.3">
      <c r="A204" s="24" t="s">
        <v>518</v>
      </c>
      <c r="B204" s="25" t="s">
        <v>519</v>
      </c>
      <c r="C204" s="24" t="s">
        <v>284</v>
      </c>
      <c r="D204" s="26">
        <v>50.640999999999998</v>
      </c>
      <c r="E204" s="28"/>
    </row>
    <row r="205" spans="1:5" ht="27" x14ac:dyDescent="0.3">
      <c r="A205" s="24" t="s">
        <v>520</v>
      </c>
      <c r="B205" s="25" t="s">
        <v>521</v>
      </c>
      <c r="C205" s="24" t="s">
        <v>522</v>
      </c>
      <c r="D205" s="26">
        <v>558.86800000000005</v>
      </c>
      <c r="E205" s="28"/>
    </row>
    <row r="206" spans="1:5" x14ac:dyDescent="0.3">
      <c r="A206" s="24" t="s">
        <v>523</v>
      </c>
      <c r="B206" s="25" t="s">
        <v>524</v>
      </c>
      <c r="C206" s="24" t="s">
        <v>199</v>
      </c>
      <c r="D206" s="26">
        <v>18.148</v>
      </c>
      <c r="E206" s="28"/>
    </row>
    <row r="207" spans="1:5" x14ac:dyDescent="0.3">
      <c r="A207" s="24" t="s">
        <v>525</v>
      </c>
      <c r="B207" s="25" t="s">
        <v>526</v>
      </c>
      <c r="C207" s="24" t="s">
        <v>209</v>
      </c>
      <c r="D207" s="26">
        <v>7.4690000000000003</v>
      </c>
      <c r="E207" s="28"/>
    </row>
    <row r="208" spans="1:5" x14ac:dyDescent="0.3">
      <c r="A208" s="24" t="s">
        <v>527</v>
      </c>
      <c r="B208" s="25" t="s">
        <v>528</v>
      </c>
      <c r="C208" s="24" t="s">
        <v>199</v>
      </c>
      <c r="D208" s="26">
        <v>1.431</v>
      </c>
      <c r="E208" s="28"/>
    </row>
    <row r="209" spans="1:5" x14ac:dyDescent="0.3">
      <c r="A209" s="24" t="s">
        <v>529</v>
      </c>
      <c r="B209" s="25" t="s">
        <v>530</v>
      </c>
      <c r="C209" s="24" t="s">
        <v>295</v>
      </c>
      <c r="D209" s="26">
        <v>8.5250000000000004</v>
      </c>
      <c r="E209" s="28"/>
    </row>
    <row r="210" spans="1:5" x14ac:dyDescent="0.3">
      <c r="A210" s="24" t="s">
        <v>531</v>
      </c>
      <c r="B210" s="25" t="s">
        <v>532</v>
      </c>
      <c r="C210" s="24" t="s">
        <v>491</v>
      </c>
      <c r="D210" s="26">
        <v>0.76</v>
      </c>
      <c r="E210" s="28"/>
    </row>
    <row r="211" spans="1:5" x14ac:dyDescent="0.3">
      <c r="A211" s="24" t="s">
        <v>533</v>
      </c>
      <c r="B211" s="25" t="s">
        <v>534</v>
      </c>
      <c r="C211" s="24" t="s">
        <v>452</v>
      </c>
      <c r="D211" s="26">
        <v>0.23400000000000001</v>
      </c>
      <c r="E211" s="28"/>
    </row>
    <row r="212" spans="1:5" x14ac:dyDescent="0.3">
      <c r="A212" s="24" t="s">
        <v>535</v>
      </c>
      <c r="B212" s="25" t="s">
        <v>536</v>
      </c>
      <c r="C212" s="24" t="s">
        <v>198</v>
      </c>
      <c r="D212" s="26">
        <v>480.548</v>
      </c>
      <c r="E212" s="28"/>
    </row>
    <row r="213" spans="1:5" x14ac:dyDescent="0.3">
      <c r="A213" s="24" t="s">
        <v>539</v>
      </c>
      <c r="B213" s="25" t="s">
        <v>540</v>
      </c>
      <c r="C213" s="24" t="s">
        <v>198</v>
      </c>
      <c r="D213" s="26">
        <v>19.501000000000001</v>
      </c>
      <c r="E213" s="28"/>
    </row>
    <row r="214" spans="1:5" x14ac:dyDescent="0.3">
      <c r="A214" s="24" t="s">
        <v>541</v>
      </c>
      <c r="B214" s="25" t="s">
        <v>542</v>
      </c>
      <c r="C214" s="24" t="s">
        <v>198</v>
      </c>
      <c r="D214" s="26">
        <v>236.76400000000001</v>
      </c>
      <c r="E214" s="28"/>
    </row>
    <row r="215" spans="1:5" x14ac:dyDescent="0.3">
      <c r="A215" s="24" t="s">
        <v>543</v>
      </c>
      <c r="B215" s="25" t="s">
        <v>544</v>
      </c>
      <c r="C215" s="24" t="s">
        <v>396</v>
      </c>
      <c r="D215" s="26">
        <v>16.143999999999998</v>
      </c>
      <c r="E215" s="28"/>
    </row>
    <row r="216" spans="1:5" x14ac:dyDescent="0.3">
      <c r="A216" s="24" t="s">
        <v>545</v>
      </c>
      <c r="B216" s="25" t="s">
        <v>546</v>
      </c>
      <c r="C216" s="24" t="s">
        <v>284</v>
      </c>
      <c r="D216" s="26">
        <v>44.625999999999998</v>
      </c>
      <c r="E216" s="28"/>
    </row>
    <row r="217" spans="1:5" ht="27" x14ac:dyDescent="0.3">
      <c r="A217" s="24" t="s">
        <v>547</v>
      </c>
      <c r="B217" s="25" t="s">
        <v>548</v>
      </c>
      <c r="C217" s="24" t="s">
        <v>284</v>
      </c>
      <c r="D217" s="26">
        <v>78.867180000000005</v>
      </c>
      <c r="E217" s="28"/>
    </row>
    <row r="218" spans="1:5" x14ac:dyDescent="0.3">
      <c r="A218" s="24" t="s">
        <v>549</v>
      </c>
      <c r="B218" s="25" t="s">
        <v>550</v>
      </c>
      <c r="C218" s="24" t="s">
        <v>199</v>
      </c>
      <c r="D218" s="26">
        <v>9.3409999999999993</v>
      </c>
      <c r="E218" s="28"/>
    </row>
    <row r="219" spans="1:5" ht="27" x14ac:dyDescent="0.3">
      <c r="A219" s="24" t="s">
        <v>551</v>
      </c>
      <c r="B219" s="25" t="s">
        <v>552</v>
      </c>
      <c r="C219" s="24" t="s">
        <v>553</v>
      </c>
      <c r="D219" s="26">
        <v>309.33100000000002</v>
      </c>
      <c r="E219" s="28"/>
    </row>
    <row r="220" spans="1:5" ht="27" x14ac:dyDescent="0.3">
      <c r="A220" s="24" t="s">
        <v>554</v>
      </c>
      <c r="B220" s="25" t="s">
        <v>555</v>
      </c>
      <c r="C220" s="24" t="s">
        <v>257</v>
      </c>
      <c r="D220" s="26">
        <v>444.09899999999999</v>
      </c>
      <c r="E220" s="28"/>
    </row>
    <row r="221" spans="1:5" ht="27" x14ac:dyDescent="0.3">
      <c r="A221" s="24" t="s">
        <v>556</v>
      </c>
      <c r="B221" s="25" t="s">
        <v>557</v>
      </c>
      <c r="C221" s="24" t="s">
        <v>198</v>
      </c>
      <c r="D221" s="26">
        <v>1.091</v>
      </c>
      <c r="E221" s="28"/>
    </row>
    <row r="222" spans="1:5" x14ac:dyDescent="0.3">
      <c r="A222" s="24" t="s">
        <v>558</v>
      </c>
      <c r="B222" s="25" t="s">
        <v>559</v>
      </c>
      <c r="C222" s="24" t="s">
        <v>452</v>
      </c>
      <c r="D222" s="26">
        <v>0.97899999999999998</v>
      </c>
      <c r="E222" s="28"/>
    </row>
    <row r="223" spans="1:5" x14ac:dyDescent="0.3">
      <c r="A223" s="24" t="s">
        <v>560</v>
      </c>
      <c r="B223" s="25" t="s">
        <v>561</v>
      </c>
      <c r="C223" s="24" t="s">
        <v>452</v>
      </c>
      <c r="D223" s="26">
        <v>0.57899999999999996</v>
      </c>
      <c r="E223" s="28"/>
    </row>
    <row r="224" spans="1:5" x14ac:dyDescent="0.3">
      <c r="A224" s="24" t="s">
        <v>562</v>
      </c>
      <c r="B224" s="25" t="s">
        <v>563</v>
      </c>
      <c r="C224" s="24" t="s">
        <v>442</v>
      </c>
      <c r="D224" s="26">
        <v>5.1719999999999997</v>
      </c>
      <c r="E224" s="28"/>
    </row>
    <row r="225" spans="1:5" x14ac:dyDescent="0.3">
      <c r="A225" s="24" t="s">
        <v>564</v>
      </c>
      <c r="B225" s="25" t="s">
        <v>565</v>
      </c>
      <c r="C225" s="24" t="s">
        <v>198</v>
      </c>
      <c r="D225" s="26">
        <v>2</v>
      </c>
      <c r="E225" s="28"/>
    </row>
    <row r="226" spans="1:5" x14ac:dyDescent="0.3">
      <c r="A226" s="31" t="s">
        <v>566</v>
      </c>
      <c r="B226" s="25" t="s">
        <v>567</v>
      </c>
      <c r="C226" s="31" t="s">
        <v>458</v>
      </c>
      <c r="D226" s="26">
        <v>460.423</v>
      </c>
      <c r="E226" s="28"/>
    </row>
    <row r="227" spans="1:5" x14ac:dyDescent="0.3">
      <c r="A227" s="24" t="s">
        <v>568</v>
      </c>
      <c r="B227" s="25" t="s">
        <v>569</v>
      </c>
      <c r="C227" s="24" t="s">
        <v>198</v>
      </c>
      <c r="D227" s="26">
        <v>390.06700000000001</v>
      </c>
      <c r="E227" s="28"/>
    </row>
    <row r="228" spans="1:5" x14ac:dyDescent="0.3">
      <c r="A228" s="24" t="s">
        <v>570</v>
      </c>
      <c r="B228" s="25" t="s">
        <v>571</v>
      </c>
      <c r="C228" s="24" t="s">
        <v>284</v>
      </c>
      <c r="D228" s="26">
        <v>40.603000000000002</v>
      </c>
      <c r="E228" s="28"/>
    </row>
    <row r="229" spans="1:5" x14ac:dyDescent="0.3">
      <c r="A229" s="24" t="s">
        <v>572</v>
      </c>
      <c r="B229" s="25" t="s">
        <v>573</v>
      </c>
      <c r="C229" s="24" t="s">
        <v>574</v>
      </c>
      <c r="D229" s="26">
        <v>40.536000000000001</v>
      </c>
      <c r="E229" s="28"/>
    </row>
    <row r="230" spans="1:5" x14ac:dyDescent="0.3">
      <c r="A230" s="24" t="s">
        <v>575</v>
      </c>
      <c r="B230" s="25" t="s">
        <v>576</v>
      </c>
      <c r="C230" s="24" t="s">
        <v>257</v>
      </c>
      <c r="D230" s="26">
        <v>13.856</v>
      </c>
      <c r="E230" s="28"/>
    </row>
    <row r="231" spans="1:5" ht="27" x14ac:dyDescent="0.3">
      <c r="A231" s="31" t="s">
        <v>577</v>
      </c>
      <c r="B231" s="25" t="s">
        <v>578</v>
      </c>
      <c r="C231" s="31" t="s">
        <v>284</v>
      </c>
      <c r="D231" s="26">
        <v>70.51597000000001</v>
      </c>
      <c r="E231" s="28"/>
    </row>
    <row r="232" spans="1:5" x14ac:dyDescent="0.3">
      <c r="A232" s="24" t="s">
        <v>579</v>
      </c>
      <c r="B232" s="25" t="s">
        <v>580</v>
      </c>
      <c r="C232" s="24" t="s">
        <v>284</v>
      </c>
      <c r="D232" s="26">
        <v>46.031999999999996</v>
      </c>
      <c r="E232" s="28"/>
    </row>
    <row r="233" spans="1:5" x14ac:dyDescent="0.3">
      <c r="A233" s="24" t="s">
        <v>581</v>
      </c>
      <c r="B233" s="25" t="s">
        <v>582</v>
      </c>
      <c r="C233" s="24" t="s">
        <v>257</v>
      </c>
      <c r="D233" s="26">
        <v>10.189</v>
      </c>
      <c r="E233" s="28"/>
    </row>
    <row r="234" spans="1:5" x14ac:dyDescent="0.3">
      <c r="A234" s="24" t="s">
        <v>583</v>
      </c>
      <c r="B234" s="25" t="s">
        <v>584</v>
      </c>
      <c r="C234" s="24" t="s">
        <v>585</v>
      </c>
      <c r="D234" s="26">
        <v>405.358</v>
      </c>
      <c r="E234" s="28"/>
    </row>
    <row r="235" spans="1:5" x14ac:dyDescent="0.3">
      <c r="A235" s="24" t="s">
        <v>586</v>
      </c>
      <c r="B235" s="25" t="s">
        <v>587</v>
      </c>
      <c r="C235" s="24" t="s">
        <v>284</v>
      </c>
      <c r="D235" s="26">
        <v>38.643000000000001</v>
      </c>
      <c r="E235" s="28"/>
    </row>
    <row r="236" spans="1:5" x14ac:dyDescent="0.3">
      <c r="A236" s="24" t="s">
        <v>588</v>
      </c>
      <c r="B236" s="25" t="s">
        <v>589</v>
      </c>
      <c r="C236" s="24" t="s">
        <v>284</v>
      </c>
      <c r="D236" s="26">
        <v>62.219000000000001</v>
      </c>
      <c r="E236" s="28"/>
    </row>
    <row r="237" spans="1:5" x14ac:dyDescent="0.3">
      <c r="A237" s="24" t="s">
        <v>590</v>
      </c>
      <c r="B237" s="25" t="s">
        <v>591</v>
      </c>
      <c r="C237" s="24" t="s">
        <v>284</v>
      </c>
      <c r="D237" s="26">
        <v>38.674999999999997</v>
      </c>
      <c r="E237" s="28"/>
    </row>
    <row r="238" spans="1:5" x14ac:dyDescent="0.3">
      <c r="A238" s="24" t="s">
        <v>592</v>
      </c>
      <c r="B238" s="25" t="s">
        <v>593</v>
      </c>
      <c r="C238" s="24" t="s">
        <v>284</v>
      </c>
      <c r="D238" s="26">
        <v>40.966999999999999</v>
      </c>
      <c r="E238" s="28"/>
    </row>
    <row r="239" spans="1:5" ht="27" x14ac:dyDescent="0.3">
      <c r="A239" s="24" t="s">
        <v>594</v>
      </c>
      <c r="B239" s="25" t="s">
        <v>595</v>
      </c>
      <c r="C239" s="24" t="s">
        <v>284</v>
      </c>
      <c r="D239" s="26">
        <v>47.07</v>
      </c>
      <c r="E239" s="28"/>
    </row>
    <row r="240" spans="1:5" x14ac:dyDescent="0.3">
      <c r="A240" s="24" t="s">
        <v>596</v>
      </c>
      <c r="B240" s="25" t="s">
        <v>597</v>
      </c>
      <c r="C240" s="24" t="s">
        <v>216</v>
      </c>
      <c r="D240" s="26">
        <v>60.35</v>
      </c>
      <c r="E240" s="28"/>
    </row>
    <row r="241" spans="1:5" x14ac:dyDescent="0.3">
      <c r="A241" s="24" t="s">
        <v>598</v>
      </c>
      <c r="B241" s="25" t="s">
        <v>599</v>
      </c>
      <c r="C241" s="24" t="s">
        <v>284</v>
      </c>
      <c r="D241" s="26">
        <v>35.856999999999999</v>
      </c>
      <c r="E241" s="28"/>
    </row>
    <row r="242" spans="1:5" ht="27" x14ac:dyDescent="0.3">
      <c r="A242" s="31" t="s">
        <v>600</v>
      </c>
      <c r="B242" s="25" t="s">
        <v>601</v>
      </c>
      <c r="C242" s="31" t="s">
        <v>257</v>
      </c>
      <c r="D242" s="26">
        <v>14.023999999999999</v>
      </c>
      <c r="E242" s="28"/>
    </row>
    <row r="243" spans="1:5" x14ac:dyDescent="0.3">
      <c r="A243" s="24" t="s">
        <v>602</v>
      </c>
      <c r="B243" s="25" t="s">
        <v>603</v>
      </c>
      <c r="C243" s="24" t="s">
        <v>494</v>
      </c>
      <c r="D243" s="26">
        <v>1.825</v>
      </c>
      <c r="E243" s="28"/>
    </row>
    <row r="244" spans="1:5" x14ac:dyDescent="0.3">
      <c r="A244" s="24" t="s">
        <v>604</v>
      </c>
      <c r="B244" s="25" t="s">
        <v>605</v>
      </c>
      <c r="C244" s="24" t="s">
        <v>198</v>
      </c>
      <c r="D244" s="26">
        <v>21.885999999999999</v>
      </c>
      <c r="E244" s="28"/>
    </row>
    <row r="245" spans="1:5" ht="27" x14ac:dyDescent="0.3">
      <c r="A245" s="24" t="s">
        <v>606</v>
      </c>
      <c r="B245" s="25" t="s">
        <v>607</v>
      </c>
      <c r="C245" s="24" t="s">
        <v>198</v>
      </c>
      <c r="D245" s="26">
        <v>200.26300000000001</v>
      </c>
      <c r="E245" s="28"/>
    </row>
    <row r="246" spans="1:5" x14ac:dyDescent="0.3">
      <c r="A246" s="24" t="s">
        <v>608</v>
      </c>
      <c r="B246" s="25" t="s">
        <v>609</v>
      </c>
      <c r="C246" s="24" t="s">
        <v>610</v>
      </c>
      <c r="D246" s="26">
        <v>0.30099999999999999</v>
      </c>
      <c r="E246" s="28"/>
    </row>
    <row r="247" spans="1:5" x14ac:dyDescent="0.3">
      <c r="A247" s="24" t="s">
        <v>611</v>
      </c>
      <c r="B247" s="25" t="s">
        <v>612</v>
      </c>
      <c r="C247" s="24" t="s">
        <v>273</v>
      </c>
      <c r="D247" s="26">
        <v>3.052</v>
      </c>
      <c r="E247" s="28"/>
    </row>
    <row r="248" spans="1:5" x14ac:dyDescent="0.3">
      <c r="A248" s="24" t="s">
        <v>613</v>
      </c>
      <c r="B248" s="25" t="s">
        <v>614</v>
      </c>
      <c r="C248" s="24" t="s">
        <v>200</v>
      </c>
      <c r="D248" s="26">
        <v>1.1319999999999999</v>
      </c>
      <c r="E248" s="28"/>
    </row>
    <row r="249" spans="1:5" x14ac:dyDescent="0.3">
      <c r="A249" s="24" t="s">
        <v>615</v>
      </c>
      <c r="B249" s="25" t="s">
        <v>616</v>
      </c>
      <c r="C249" s="24" t="s">
        <v>209</v>
      </c>
      <c r="D249" s="26">
        <v>16.646999999999998</v>
      </c>
      <c r="E249" s="28"/>
    </row>
    <row r="250" spans="1:5" x14ac:dyDescent="0.3">
      <c r="A250" s="24" t="s">
        <v>617</v>
      </c>
      <c r="B250" s="25" t="s">
        <v>618</v>
      </c>
      <c r="C250" s="24" t="s">
        <v>198</v>
      </c>
      <c r="D250" s="26">
        <v>23.760999999999999</v>
      </c>
      <c r="E250" s="28"/>
    </row>
    <row r="251" spans="1:5" ht="27" x14ac:dyDescent="0.3">
      <c r="A251" s="24" t="s">
        <v>619</v>
      </c>
      <c r="B251" s="25" t="s">
        <v>620</v>
      </c>
      <c r="C251" s="24" t="s">
        <v>371</v>
      </c>
      <c r="D251" s="26">
        <v>0.16600000000000001</v>
      </c>
      <c r="E251" s="28"/>
    </row>
    <row r="252" spans="1:5" ht="27" x14ac:dyDescent="0.3">
      <c r="A252" s="24" t="s">
        <v>621</v>
      </c>
      <c r="B252" s="25" t="s">
        <v>622</v>
      </c>
      <c r="C252" s="24" t="s">
        <v>432</v>
      </c>
      <c r="D252" s="26">
        <v>0.20300000000000001</v>
      </c>
      <c r="E252" s="28"/>
    </row>
    <row r="253" spans="1:5" x14ac:dyDescent="0.3">
      <c r="A253" s="24" t="s">
        <v>623</v>
      </c>
      <c r="B253" s="25" t="s">
        <v>624</v>
      </c>
      <c r="C253" s="24" t="s">
        <v>625</v>
      </c>
      <c r="D253" s="26">
        <v>13.153</v>
      </c>
      <c r="E253" s="28"/>
    </row>
    <row r="254" spans="1:5" x14ac:dyDescent="0.3">
      <c r="A254" s="24" t="s">
        <v>626</v>
      </c>
      <c r="B254" s="25" t="s">
        <v>627</v>
      </c>
      <c r="C254" s="24" t="s">
        <v>199</v>
      </c>
      <c r="D254" s="26">
        <v>0.83499999999999996</v>
      </c>
      <c r="E254" s="28"/>
    </row>
    <row r="255" spans="1:5" x14ac:dyDescent="0.3">
      <c r="A255" s="24" t="s">
        <v>628</v>
      </c>
      <c r="B255" s="25" t="s">
        <v>629</v>
      </c>
      <c r="C255" s="24" t="s">
        <v>396</v>
      </c>
      <c r="D255" s="26">
        <v>1.7450000000000001</v>
      </c>
      <c r="E255" s="28"/>
    </row>
    <row r="256" spans="1:5" ht="27" x14ac:dyDescent="0.3">
      <c r="A256" s="24" t="s">
        <v>630</v>
      </c>
      <c r="B256" s="25" t="s">
        <v>631</v>
      </c>
      <c r="C256" s="24" t="s">
        <v>632</v>
      </c>
      <c r="D256" s="26">
        <v>418.839</v>
      </c>
      <c r="E256" s="28"/>
    </row>
    <row r="257" spans="1:5" ht="27" x14ac:dyDescent="0.3">
      <c r="A257" s="24" t="s">
        <v>633</v>
      </c>
      <c r="B257" s="25" t="s">
        <v>634</v>
      </c>
      <c r="C257" s="24" t="s">
        <v>257</v>
      </c>
      <c r="D257" s="26">
        <v>13.04</v>
      </c>
      <c r="E257" s="28"/>
    </row>
    <row r="258" spans="1:5" ht="27" x14ac:dyDescent="0.3">
      <c r="A258" s="24" t="s">
        <v>635</v>
      </c>
      <c r="B258" s="25" t="s">
        <v>636</v>
      </c>
      <c r="C258" s="24" t="s">
        <v>198</v>
      </c>
      <c r="D258" s="26">
        <v>45.726999999999997</v>
      </c>
      <c r="E258" s="28"/>
    </row>
    <row r="259" spans="1:5" x14ac:dyDescent="0.3">
      <c r="A259" s="24" t="s">
        <v>637</v>
      </c>
      <c r="B259" s="25" t="s">
        <v>638</v>
      </c>
      <c r="C259" s="24" t="s">
        <v>198</v>
      </c>
      <c r="D259" s="26">
        <v>152.858</v>
      </c>
      <c r="E259" s="28"/>
    </row>
    <row r="260" spans="1:5" x14ac:dyDescent="0.3">
      <c r="A260" s="24" t="s">
        <v>639</v>
      </c>
      <c r="B260" s="25" t="s">
        <v>640</v>
      </c>
      <c r="C260" s="24" t="s">
        <v>198</v>
      </c>
      <c r="D260" s="26">
        <v>542.89</v>
      </c>
      <c r="E260" s="28"/>
    </row>
    <row r="261" spans="1:5" x14ac:dyDescent="0.3">
      <c r="A261" s="24" t="s">
        <v>643</v>
      </c>
      <c r="B261" s="25" t="s">
        <v>644</v>
      </c>
      <c r="C261" s="24" t="s">
        <v>209</v>
      </c>
      <c r="D261" s="26">
        <v>14.407999999999999</v>
      </c>
      <c r="E261" s="28"/>
    </row>
    <row r="262" spans="1:5" x14ac:dyDescent="0.3">
      <c r="A262" s="24" t="s">
        <v>645</v>
      </c>
      <c r="B262" s="25" t="s">
        <v>646</v>
      </c>
      <c r="C262" s="24" t="s">
        <v>198</v>
      </c>
      <c r="D262" s="26">
        <v>0.23200000000000001</v>
      </c>
      <c r="E262" s="28"/>
    </row>
    <row r="263" spans="1:5" x14ac:dyDescent="0.3">
      <c r="A263" s="24" t="s">
        <v>647</v>
      </c>
      <c r="B263" s="25" t="s">
        <v>648</v>
      </c>
      <c r="C263" s="24" t="s">
        <v>371</v>
      </c>
      <c r="D263" s="26">
        <v>42.865000000000002</v>
      </c>
      <c r="E263" s="28"/>
    </row>
    <row r="264" spans="1:5" x14ac:dyDescent="0.3">
      <c r="A264" s="24" t="s">
        <v>649</v>
      </c>
      <c r="B264" s="25" t="s">
        <v>650</v>
      </c>
      <c r="C264" s="24" t="s">
        <v>198</v>
      </c>
      <c r="D264" s="26">
        <v>1.2310000000000001</v>
      </c>
      <c r="E264" s="28"/>
    </row>
    <row r="265" spans="1:5" x14ac:dyDescent="0.3">
      <c r="A265" s="24" t="s">
        <v>651</v>
      </c>
      <c r="B265" s="25" t="s">
        <v>652</v>
      </c>
      <c r="C265" s="24" t="s">
        <v>653</v>
      </c>
      <c r="D265" s="26">
        <v>0.90300000000000002</v>
      </c>
      <c r="E265" s="28"/>
    </row>
    <row r="266" spans="1:5" x14ac:dyDescent="0.3">
      <c r="A266" s="24" t="s">
        <v>654</v>
      </c>
      <c r="B266" s="25" t="s">
        <v>655</v>
      </c>
      <c r="C266" s="24" t="s">
        <v>656</v>
      </c>
      <c r="D266" s="26">
        <v>10.988</v>
      </c>
      <c r="E266" s="28"/>
    </row>
    <row r="267" spans="1:5" x14ac:dyDescent="0.3">
      <c r="A267" s="24" t="s">
        <v>657</v>
      </c>
      <c r="B267" s="25" t="s">
        <v>658</v>
      </c>
      <c r="C267" s="24" t="s">
        <v>659</v>
      </c>
      <c r="D267" s="26">
        <v>0.66300000000000003</v>
      </c>
      <c r="E267" s="28"/>
    </row>
    <row r="268" spans="1:5" x14ac:dyDescent="0.3">
      <c r="A268" s="24" t="s">
        <v>660</v>
      </c>
      <c r="B268" s="25" t="s">
        <v>661</v>
      </c>
      <c r="C268" s="24" t="s">
        <v>198</v>
      </c>
      <c r="D268" s="26">
        <v>63.212000000000003</v>
      </c>
      <c r="E268" s="28"/>
    </row>
    <row r="269" spans="1:5" x14ac:dyDescent="0.3">
      <c r="A269" s="24" t="s">
        <v>662</v>
      </c>
      <c r="B269" s="25" t="s">
        <v>663</v>
      </c>
      <c r="C269" s="24" t="s">
        <v>273</v>
      </c>
      <c r="D269" s="26">
        <v>31.949000000000002</v>
      </c>
      <c r="E269" s="28"/>
    </row>
    <row r="270" spans="1:5" x14ac:dyDescent="0.3">
      <c r="A270" s="24" t="s">
        <v>664</v>
      </c>
      <c r="B270" s="25" t="s">
        <v>665</v>
      </c>
      <c r="C270" s="24" t="s">
        <v>311</v>
      </c>
      <c r="D270" s="26">
        <v>0.77300000000000002</v>
      </c>
      <c r="E270" s="28"/>
    </row>
    <row r="271" spans="1:5" x14ac:dyDescent="0.3">
      <c r="A271" s="31" t="s">
        <v>666</v>
      </c>
      <c r="B271" s="25" t="s">
        <v>667</v>
      </c>
      <c r="C271" s="35" t="s">
        <v>198</v>
      </c>
      <c r="D271" s="26">
        <v>2.657</v>
      </c>
      <c r="E271" s="28"/>
    </row>
    <row r="272" spans="1:5" ht="27" x14ac:dyDescent="0.3">
      <c r="A272" s="24" t="s">
        <v>668</v>
      </c>
      <c r="B272" s="25" t="s">
        <v>669</v>
      </c>
      <c r="C272" s="24" t="s">
        <v>670</v>
      </c>
      <c r="D272" s="26">
        <v>1267.771</v>
      </c>
      <c r="E272" s="28"/>
    </row>
    <row r="273" spans="1:5" x14ac:dyDescent="0.3">
      <c r="A273" s="24" t="s">
        <v>671</v>
      </c>
      <c r="B273" s="25" t="s">
        <v>672</v>
      </c>
      <c r="C273" s="24" t="s">
        <v>199</v>
      </c>
      <c r="D273" s="26">
        <v>0.106</v>
      </c>
      <c r="E273" s="28"/>
    </row>
    <row r="274" spans="1:5" x14ac:dyDescent="0.3">
      <c r="A274" s="24" t="s">
        <v>673</v>
      </c>
      <c r="B274" s="25" t="s">
        <v>674</v>
      </c>
      <c r="C274" s="24" t="s">
        <v>405</v>
      </c>
      <c r="D274" s="26">
        <v>20.135999999999999</v>
      </c>
      <c r="E274" s="28"/>
    </row>
    <row r="275" spans="1:5" x14ac:dyDescent="0.3">
      <c r="A275" s="24" t="s">
        <v>675</v>
      </c>
      <c r="B275" s="25" t="s">
        <v>676</v>
      </c>
      <c r="C275" s="24" t="s">
        <v>295</v>
      </c>
      <c r="D275" s="26">
        <v>1.083</v>
      </c>
      <c r="E275" s="28"/>
    </row>
    <row r="276" spans="1:5" x14ac:dyDescent="0.3">
      <c r="A276" s="24" t="s">
        <v>677</v>
      </c>
      <c r="B276" s="25" t="s">
        <v>678</v>
      </c>
      <c r="C276" s="24" t="s">
        <v>458</v>
      </c>
      <c r="D276" s="26">
        <v>29.548999999999999</v>
      </c>
      <c r="E276" s="28"/>
    </row>
    <row r="277" spans="1:5" x14ac:dyDescent="0.3">
      <c r="A277" s="24" t="s">
        <v>679</v>
      </c>
      <c r="B277" s="25" t="s">
        <v>680</v>
      </c>
      <c r="C277" s="24" t="s">
        <v>199</v>
      </c>
      <c r="D277" s="26">
        <v>3.5000000000000003E-2</v>
      </c>
      <c r="E277" s="28"/>
    </row>
    <row r="278" spans="1:5" x14ac:dyDescent="0.3">
      <c r="A278" s="24" t="s">
        <v>681</v>
      </c>
      <c r="B278" s="25" t="s">
        <v>682</v>
      </c>
      <c r="C278" s="24" t="s">
        <v>683</v>
      </c>
      <c r="D278" s="26">
        <v>13.157999999999999</v>
      </c>
      <c r="E278" s="28"/>
    </row>
    <row r="279" spans="1:5" x14ac:dyDescent="0.3">
      <c r="A279" s="24" t="s">
        <v>684</v>
      </c>
      <c r="B279" s="25" t="s">
        <v>685</v>
      </c>
      <c r="C279" s="24" t="s">
        <v>442</v>
      </c>
      <c r="D279" s="26">
        <v>6.9130000000000003</v>
      </c>
      <c r="E279" s="28"/>
    </row>
    <row r="280" spans="1:5" x14ac:dyDescent="0.3">
      <c r="A280" s="24" t="s">
        <v>686</v>
      </c>
      <c r="B280" s="25" t="s">
        <v>687</v>
      </c>
      <c r="C280" s="24" t="s">
        <v>688</v>
      </c>
      <c r="D280" s="26">
        <v>0.63900000000000001</v>
      </c>
      <c r="E280" s="28"/>
    </row>
    <row r="281" spans="1:5" x14ac:dyDescent="0.3">
      <c r="A281" s="24" t="s">
        <v>689</v>
      </c>
      <c r="B281" s="25" t="s">
        <v>690</v>
      </c>
      <c r="C281" s="24" t="s">
        <v>522</v>
      </c>
      <c r="D281" s="26">
        <v>2.1110000000000002</v>
      </c>
      <c r="E281" s="28"/>
    </row>
    <row r="282" spans="1:5" ht="27" x14ac:dyDescent="0.3">
      <c r="A282" s="24" t="s">
        <v>691</v>
      </c>
      <c r="B282" s="25" t="s">
        <v>692</v>
      </c>
      <c r="C282" s="24" t="s">
        <v>257</v>
      </c>
      <c r="D282" s="26">
        <v>5.375</v>
      </c>
      <c r="E282" s="28"/>
    </row>
    <row r="283" spans="1:5" ht="27" x14ac:dyDescent="0.3">
      <c r="A283" s="24" t="s">
        <v>693</v>
      </c>
      <c r="B283" s="25" t="s">
        <v>694</v>
      </c>
      <c r="C283" s="31" t="s">
        <v>198</v>
      </c>
      <c r="D283" s="26">
        <v>30.044</v>
      </c>
      <c r="E283" s="28"/>
    </row>
    <row r="284" spans="1:5" x14ac:dyDescent="0.3">
      <c r="A284" s="24" t="s">
        <v>695</v>
      </c>
      <c r="B284" s="25" t="s">
        <v>696</v>
      </c>
      <c r="C284" s="24" t="s">
        <v>257</v>
      </c>
      <c r="D284" s="26">
        <v>0.98</v>
      </c>
      <c r="E284" s="28"/>
    </row>
    <row r="285" spans="1:5" ht="27" x14ac:dyDescent="0.3">
      <c r="A285" s="24" t="s">
        <v>697</v>
      </c>
      <c r="B285" s="25" t="s">
        <v>698</v>
      </c>
      <c r="C285" s="24" t="s">
        <v>699</v>
      </c>
      <c r="D285" s="26">
        <v>17.215</v>
      </c>
      <c r="E285" s="28"/>
    </row>
    <row r="286" spans="1:5" ht="27" x14ac:dyDescent="0.3">
      <c r="A286" s="24" t="s">
        <v>700</v>
      </c>
      <c r="B286" s="25" t="s">
        <v>701</v>
      </c>
      <c r="C286" s="24" t="s">
        <v>198</v>
      </c>
      <c r="D286" s="26">
        <v>1.038</v>
      </c>
      <c r="E286" s="28"/>
    </row>
    <row r="287" spans="1:5" ht="27" x14ac:dyDescent="0.3">
      <c r="A287" s="24" t="s">
        <v>702</v>
      </c>
      <c r="B287" s="25" t="s">
        <v>703</v>
      </c>
      <c r="C287" s="24" t="s">
        <v>198</v>
      </c>
      <c r="D287" s="26">
        <v>0.113</v>
      </c>
      <c r="E287" s="28"/>
    </row>
    <row r="288" spans="1:5" x14ac:dyDescent="0.3">
      <c r="A288" s="31" t="s">
        <v>704</v>
      </c>
      <c r="B288" s="25" t="s">
        <v>705</v>
      </c>
      <c r="C288" s="35" t="s">
        <v>200</v>
      </c>
      <c r="D288" s="26">
        <v>2.0249999999999999</v>
      </c>
      <c r="E288" s="28"/>
    </row>
    <row r="289" spans="1:5" x14ac:dyDescent="0.3">
      <c r="A289" s="24" t="s">
        <v>706</v>
      </c>
      <c r="B289" s="25" t="s">
        <v>707</v>
      </c>
      <c r="C289" s="24" t="s">
        <v>199</v>
      </c>
      <c r="D289" s="26">
        <v>4.7290000000000001</v>
      </c>
      <c r="E289" s="28"/>
    </row>
    <row r="290" spans="1:5" x14ac:dyDescent="0.3">
      <c r="A290" s="31" t="s">
        <v>708</v>
      </c>
      <c r="B290" s="25" t="s">
        <v>709</v>
      </c>
      <c r="C290" s="31" t="s">
        <v>199</v>
      </c>
      <c r="D290" s="26">
        <v>11.71</v>
      </c>
      <c r="E290" s="28"/>
    </row>
    <row r="291" spans="1:5" x14ac:dyDescent="0.3">
      <c r="A291" s="24" t="s">
        <v>710</v>
      </c>
      <c r="B291" s="25" t="s">
        <v>711</v>
      </c>
      <c r="C291" s="24" t="s">
        <v>452</v>
      </c>
      <c r="D291" s="26">
        <v>7.9130000000000003</v>
      </c>
      <c r="E291" s="28"/>
    </row>
    <row r="292" spans="1:5" x14ac:dyDescent="0.3">
      <c r="A292" s="24" t="s">
        <v>712</v>
      </c>
      <c r="B292" s="25" t="s">
        <v>713</v>
      </c>
      <c r="C292" s="24" t="s">
        <v>257</v>
      </c>
      <c r="D292" s="26">
        <v>9.4659999999999993</v>
      </c>
      <c r="E292" s="28"/>
    </row>
    <row r="293" spans="1:5" ht="27" x14ac:dyDescent="0.3">
      <c r="A293" s="24" t="s">
        <v>714</v>
      </c>
      <c r="B293" s="25" t="s">
        <v>715</v>
      </c>
      <c r="C293" s="24" t="s">
        <v>199</v>
      </c>
      <c r="D293" s="26">
        <v>2.9039999999999999</v>
      </c>
      <c r="E293" s="28"/>
    </row>
    <row r="294" spans="1:5" x14ac:dyDescent="0.3">
      <c r="A294" s="24" t="s">
        <v>716</v>
      </c>
      <c r="B294" s="25" t="s">
        <v>717</v>
      </c>
      <c r="C294" s="24" t="s">
        <v>198</v>
      </c>
      <c r="D294" s="26">
        <v>17.459</v>
      </c>
      <c r="E294" s="28"/>
    </row>
    <row r="295" spans="1:5" x14ac:dyDescent="0.3">
      <c r="A295" s="24" t="s">
        <v>718</v>
      </c>
      <c r="B295" s="25" t="s">
        <v>719</v>
      </c>
      <c r="C295" s="24" t="s">
        <v>198</v>
      </c>
      <c r="D295" s="26">
        <v>3.234</v>
      </c>
      <c r="E295" s="28"/>
    </row>
    <row r="296" spans="1:5" x14ac:dyDescent="0.3">
      <c r="A296" s="24" t="s">
        <v>720</v>
      </c>
      <c r="B296" s="25" t="s">
        <v>721</v>
      </c>
      <c r="C296" s="24" t="s">
        <v>198</v>
      </c>
      <c r="D296" s="26">
        <v>20.292000000000002</v>
      </c>
      <c r="E296" s="28"/>
    </row>
    <row r="297" spans="1:5" ht="27" x14ac:dyDescent="0.3">
      <c r="A297" s="24" t="s">
        <v>722</v>
      </c>
      <c r="B297" s="25" t="s">
        <v>723</v>
      </c>
      <c r="C297" s="24" t="s">
        <v>198</v>
      </c>
      <c r="D297" s="26">
        <v>57.417000000000002</v>
      </c>
      <c r="E297" s="28"/>
    </row>
    <row r="298" spans="1:5" x14ac:dyDescent="0.3">
      <c r="A298" s="24" t="s">
        <v>724</v>
      </c>
      <c r="B298" s="25" t="s">
        <v>725</v>
      </c>
      <c r="C298" s="24" t="s">
        <v>198</v>
      </c>
      <c r="D298" s="26">
        <v>204.68799999999999</v>
      </c>
      <c r="E298" s="28"/>
    </row>
    <row r="299" spans="1:5" x14ac:dyDescent="0.3">
      <c r="A299" s="24" t="s">
        <v>726</v>
      </c>
      <c r="B299" s="25" t="s">
        <v>727</v>
      </c>
      <c r="C299" s="24" t="s">
        <v>728</v>
      </c>
      <c r="D299" s="26">
        <v>0.81499999999999995</v>
      </c>
      <c r="E299" s="28"/>
    </row>
    <row r="300" spans="1:5" x14ac:dyDescent="0.3">
      <c r="A300" s="24" t="s">
        <v>729</v>
      </c>
      <c r="B300" s="25" t="s">
        <v>730</v>
      </c>
      <c r="C300" s="24" t="s">
        <v>200</v>
      </c>
      <c r="D300" s="26">
        <v>37.052</v>
      </c>
      <c r="E300" s="28"/>
    </row>
    <row r="301" spans="1:5" x14ac:dyDescent="0.3">
      <c r="A301" s="24" t="s">
        <v>731</v>
      </c>
      <c r="B301" s="25" t="s">
        <v>732</v>
      </c>
      <c r="C301" s="24" t="s">
        <v>198</v>
      </c>
      <c r="D301" s="26">
        <v>2.9169999999999998</v>
      </c>
      <c r="E301" s="28"/>
    </row>
    <row r="302" spans="1:5" x14ac:dyDescent="0.3">
      <c r="A302" s="24" t="s">
        <v>733</v>
      </c>
      <c r="B302" s="25" t="s">
        <v>734</v>
      </c>
      <c r="C302" s="24" t="s">
        <v>735</v>
      </c>
      <c r="D302" s="26">
        <v>6.4130000000000003</v>
      </c>
      <c r="E302" s="28"/>
    </row>
    <row r="303" spans="1:5" ht="27" x14ac:dyDescent="0.3">
      <c r="A303" s="24" t="s">
        <v>736</v>
      </c>
      <c r="B303" s="25" t="s">
        <v>737</v>
      </c>
      <c r="C303" s="24" t="s">
        <v>738</v>
      </c>
      <c r="D303" s="26">
        <v>27.047999999999998</v>
      </c>
      <c r="E303" s="28"/>
    </row>
    <row r="304" spans="1:5" x14ac:dyDescent="0.3">
      <c r="A304" s="24" t="s">
        <v>739</v>
      </c>
      <c r="B304" s="25" t="s">
        <v>740</v>
      </c>
      <c r="C304" s="24" t="s">
        <v>198</v>
      </c>
      <c r="D304" s="26">
        <v>0.123</v>
      </c>
      <c r="E304" s="28"/>
    </row>
    <row r="305" spans="1:5" x14ac:dyDescent="0.3">
      <c r="A305" s="31" t="s">
        <v>741</v>
      </c>
      <c r="B305" s="25" t="s">
        <v>742</v>
      </c>
      <c r="C305" s="31" t="s">
        <v>199</v>
      </c>
      <c r="D305" s="26">
        <v>24.138000000000002</v>
      </c>
      <c r="E305" s="28"/>
    </row>
    <row r="306" spans="1:5" x14ac:dyDescent="0.3">
      <c r="A306" s="24" t="s">
        <v>743</v>
      </c>
      <c r="B306" s="25" t="s">
        <v>744</v>
      </c>
      <c r="C306" s="24" t="s">
        <v>325</v>
      </c>
      <c r="D306" s="26">
        <v>21.303999999999998</v>
      </c>
      <c r="E306" s="28"/>
    </row>
    <row r="307" spans="1:5" x14ac:dyDescent="0.3">
      <c r="A307" s="24" t="s">
        <v>745</v>
      </c>
      <c r="B307" s="25" t="s">
        <v>746</v>
      </c>
      <c r="C307" s="24" t="s">
        <v>198</v>
      </c>
      <c r="D307" s="26">
        <v>11.475</v>
      </c>
      <c r="E307" s="28"/>
    </row>
    <row r="308" spans="1:5" ht="27" x14ac:dyDescent="0.3">
      <c r="A308" s="24" t="s">
        <v>747</v>
      </c>
      <c r="B308" s="25" t="s">
        <v>748</v>
      </c>
      <c r="C308" s="24" t="s">
        <v>749</v>
      </c>
      <c r="D308" s="26">
        <v>12.467000000000001</v>
      </c>
      <c r="E308" s="28"/>
    </row>
    <row r="309" spans="1:5" x14ac:dyDescent="0.3">
      <c r="A309" s="24" t="s">
        <v>750</v>
      </c>
      <c r="B309" s="25" t="s">
        <v>751</v>
      </c>
      <c r="C309" s="24" t="s">
        <v>728</v>
      </c>
      <c r="D309" s="26">
        <v>8.9280000000000008</v>
      </c>
      <c r="E309" s="28"/>
    </row>
    <row r="310" spans="1:5" x14ac:dyDescent="0.3">
      <c r="A310" s="24" t="s">
        <v>752</v>
      </c>
      <c r="B310" s="25" t="s">
        <v>753</v>
      </c>
      <c r="C310" s="24" t="s">
        <v>452</v>
      </c>
      <c r="D310" s="26">
        <v>0.65500000000000003</v>
      </c>
      <c r="E310" s="28"/>
    </row>
    <row r="311" spans="1:5" ht="27" x14ac:dyDescent="0.3">
      <c r="A311" s="24" t="s">
        <v>754</v>
      </c>
      <c r="B311" s="25" t="s">
        <v>755</v>
      </c>
      <c r="C311" s="24" t="s">
        <v>756</v>
      </c>
      <c r="D311" s="26">
        <v>720.66800000000001</v>
      </c>
      <c r="E311" s="28"/>
    </row>
    <row r="312" spans="1:5" x14ac:dyDescent="0.3">
      <c r="A312" s="24" t="s">
        <v>757</v>
      </c>
      <c r="B312" s="25" t="s">
        <v>758</v>
      </c>
      <c r="C312" s="24" t="s">
        <v>759</v>
      </c>
      <c r="D312" s="26">
        <v>367.96100000000001</v>
      </c>
      <c r="E312" s="28"/>
    </row>
    <row r="313" spans="1:5" x14ac:dyDescent="0.3">
      <c r="A313" s="24" t="s">
        <v>760</v>
      </c>
      <c r="B313" s="25" t="s">
        <v>761</v>
      </c>
      <c r="C313" s="24" t="s">
        <v>762</v>
      </c>
      <c r="D313" s="26">
        <v>4528.3109999999997</v>
      </c>
      <c r="E313" s="28"/>
    </row>
    <row r="314" spans="1:5" x14ac:dyDescent="0.3">
      <c r="A314" s="24" t="s">
        <v>763</v>
      </c>
      <c r="B314" s="25" t="s">
        <v>764</v>
      </c>
      <c r="C314" s="24" t="s">
        <v>198</v>
      </c>
      <c r="D314" s="26">
        <v>2485.2420000000002</v>
      </c>
      <c r="E314" s="28"/>
    </row>
    <row r="315" spans="1:5" x14ac:dyDescent="0.3">
      <c r="A315" s="24" t="s">
        <v>765</v>
      </c>
      <c r="B315" s="25" t="s">
        <v>766</v>
      </c>
      <c r="C315" s="24" t="s">
        <v>767</v>
      </c>
      <c r="D315" s="26">
        <v>29.821000000000002</v>
      </c>
      <c r="E315" s="28"/>
    </row>
    <row r="316" spans="1:5" x14ac:dyDescent="0.3">
      <c r="A316" s="24" t="s">
        <v>768</v>
      </c>
      <c r="B316" s="25" t="s">
        <v>769</v>
      </c>
      <c r="C316" s="24" t="s">
        <v>209</v>
      </c>
      <c r="D316" s="26">
        <v>38.042999999999999</v>
      </c>
      <c r="E316" s="28"/>
    </row>
    <row r="317" spans="1:5" x14ac:dyDescent="0.3">
      <c r="A317" s="24" t="s">
        <v>770</v>
      </c>
      <c r="B317" s="25" t="s">
        <v>771</v>
      </c>
      <c r="C317" s="24" t="s">
        <v>767</v>
      </c>
      <c r="D317" s="26">
        <v>1.018</v>
      </c>
      <c r="E317" s="28"/>
    </row>
    <row r="318" spans="1:5" x14ac:dyDescent="0.3">
      <c r="A318" s="24" t="s">
        <v>772</v>
      </c>
      <c r="B318" s="25" t="s">
        <v>773</v>
      </c>
      <c r="C318" s="24" t="s">
        <v>774</v>
      </c>
      <c r="D318" s="26">
        <v>1.825</v>
      </c>
      <c r="E318" s="28"/>
    </row>
    <row r="319" spans="1:5" x14ac:dyDescent="0.3">
      <c r="A319" s="24" t="s">
        <v>775</v>
      </c>
      <c r="B319" s="25" t="s">
        <v>776</v>
      </c>
      <c r="C319" s="24" t="s">
        <v>683</v>
      </c>
      <c r="D319" s="26">
        <v>95.983000000000004</v>
      </c>
      <c r="E319" s="28"/>
    </row>
    <row r="320" spans="1:5" x14ac:dyDescent="0.3">
      <c r="A320" s="24" t="s">
        <v>777</v>
      </c>
      <c r="B320" s="25" t="s">
        <v>778</v>
      </c>
      <c r="C320" s="24" t="s">
        <v>209</v>
      </c>
      <c r="D320" s="26">
        <v>2.431</v>
      </c>
      <c r="E320" s="28"/>
    </row>
    <row r="321" spans="1:5" x14ac:dyDescent="0.3">
      <c r="A321" s="24" t="s">
        <v>779</v>
      </c>
      <c r="B321" s="25" t="s">
        <v>780</v>
      </c>
      <c r="C321" s="24" t="s">
        <v>781</v>
      </c>
      <c r="D321" s="26">
        <v>41.426000000000002</v>
      </c>
      <c r="E321" s="28"/>
    </row>
    <row r="322" spans="1:5" x14ac:dyDescent="0.3">
      <c r="A322" s="31" t="s">
        <v>782</v>
      </c>
      <c r="B322" s="25" t="s">
        <v>783</v>
      </c>
      <c r="C322" s="24" t="s">
        <v>198</v>
      </c>
      <c r="D322" s="26">
        <v>347.24299999999999</v>
      </c>
      <c r="E322" s="28"/>
    </row>
    <row r="323" spans="1:5" x14ac:dyDescent="0.3">
      <c r="A323" s="24" t="s">
        <v>784</v>
      </c>
      <c r="B323" s="25" t="s">
        <v>785</v>
      </c>
      <c r="C323" s="24" t="s">
        <v>452</v>
      </c>
      <c r="D323" s="26">
        <v>11.965999999999999</v>
      </c>
      <c r="E323" s="28"/>
    </row>
    <row r="324" spans="1:5" x14ac:dyDescent="0.3">
      <c r="A324" s="24" t="s">
        <v>786</v>
      </c>
      <c r="B324" s="25" t="s">
        <v>787</v>
      </c>
      <c r="C324" s="24" t="s">
        <v>209</v>
      </c>
      <c r="D324" s="26">
        <v>2.2629999999999999</v>
      </c>
      <c r="E324" s="28"/>
    </row>
    <row r="325" spans="1:5" ht="27" x14ac:dyDescent="0.3">
      <c r="A325" s="24" t="s">
        <v>788</v>
      </c>
      <c r="B325" s="25" t="s">
        <v>789</v>
      </c>
      <c r="C325" s="24" t="s">
        <v>553</v>
      </c>
      <c r="D325" s="26">
        <v>11.455</v>
      </c>
      <c r="E325" s="28"/>
    </row>
    <row r="326" spans="1:5" x14ac:dyDescent="0.3">
      <c r="A326" s="24" t="s">
        <v>790</v>
      </c>
      <c r="B326" s="25" t="s">
        <v>791</v>
      </c>
      <c r="C326" s="24" t="s">
        <v>405</v>
      </c>
      <c r="D326" s="26">
        <v>70.144999999999996</v>
      </c>
      <c r="E326" s="28"/>
    </row>
    <row r="327" spans="1:5" x14ac:dyDescent="0.3">
      <c r="A327" s="24" t="s">
        <v>792</v>
      </c>
      <c r="B327" s="25" t="s">
        <v>793</v>
      </c>
      <c r="C327" s="24" t="s">
        <v>295</v>
      </c>
      <c r="D327" s="26">
        <v>1.482</v>
      </c>
      <c r="E327" s="28"/>
    </row>
    <row r="328" spans="1:5" x14ac:dyDescent="0.3">
      <c r="A328" s="24" t="s">
        <v>794</v>
      </c>
      <c r="B328" s="25" t="s">
        <v>795</v>
      </c>
      <c r="C328" s="24" t="s">
        <v>199</v>
      </c>
      <c r="D328" s="26">
        <v>0.10299999999999999</v>
      </c>
      <c r="E328" s="28"/>
    </row>
    <row r="329" spans="1:5" x14ac:dyDescent="0.3">
      <c r="A329" s="24" t="s">
        <v>796</v>
      </c>
      <c r="B329" s="25" t="s">
        <v>797</v>
      </c>
      <c r="C329" s="24" t="s">
        <v>199</v>
      </c>
      <c r="D329" s="26">
        <v>1.194</v>
      </c>
      <c r="E329" s="28"/>
    </row>
    <row r="330" spans="1:5" x14ac:dyDescent="0.3">
      <c r="A330" s="24" t="s">
        <v>798</v>
      </c>
      <c r="B330" s="25" t="s">
        <v>799</v>
      </c>
      <c r="C330" s="24" t="s">
        <v>371</v>
      </c>
      <c r="D330" s="26">
        <v>15.058</v>
      </c>
      <c r="E330" s="28"/>
    </row>
    <row r="331" spans="1:5" x14ac:dyDescent="0.3">
      <c r="A331" s="24" t="s">
        <v>800</v>
      </c>
      <c r="B331" s="25" t="s">
        <v>801</v>
      </c>
      <c r="C331" s="24" t="s">
        <v>200</v>
      </c>
      <c r="D331" s="26">
        <v>392.15</v>
      </c>
      <c r="E331" s="28"/>
    </row>
    <row r="332" spans="1:5" ht="27" x14ac:dyDescent="0.3">
      <c r="A332" s="24" t="s">
        <v>802</v>
      </c>
      <c r="B332" s="25" t="s">
        <v>803</v>
      </c>
      <c r="C332" s="24" t="s">
        <v>199</v>
      </c>
      <c r="D332" s="26">
        <v>1.25</v>
      </c>
      <c r="E332" s="28"/>
    </row>
    <row r="333" spans="1:5" x14ac:dyDescent="0.3">
      <c r="A333" s="24" t="s">
        <v>804</v>
      </c>
      <c r="B333" s="25" t="s">
        <v>805</v>
      </c>
      <c r="C333" s="24" t="s">
        <v>284</v>
      </c>
      <c r="D333" s="26">
        <v>418.10399999999998</v>
      </c>
      <c r="E333" s="28"/>
    </row>
    <row r="334" spans="1:5" x14ac:dyDescent="0.3">
      <c r="A334" s="24" t="s">
        <v>806</v>
      </c>
      <c r="B334" s="25" t="s">
        <v>807</v>
      </c>
      <c r="C334" s="24" t="s">
        <v>808</v>
      </c>
      <c r="D334" s="26">
        <v>357.34300000000002</v>
      </c>
      <c r="E334" s="28"/>
    </row>
    <row r="335" spans="1:5" x14ac:dyDescent="0.3">
      <c r="A335" s="24" t="s">
        <v>809</v>
      </c>
      <c r="B335" s="25" t="s">
        <v>810</v>
      </c>
      <c r="C335" s="24" t="s">
        <v>553</v>
      </c>
      <c r="D335" s="26">
        <v>4.5279999999999996</v>
      </c>
      <c r="E335" s="28"/>
    </row>
    <row r="336" spans="1:5" x14ac:dyDescent="0.3">
      <c r="A336" s="24" t="s">
        <v>811</v>
      </c>
      <c r="B336" s="25" t="s">
        <v>812</v>
      </c>
      <c r="C336" s="24" t="s">
        <v>396</v>
      </c>
      <c r="D336" s="26">
        <v>287.64400000000001</v>
      </c>
      <c r="E336" s="28"/>
    </row>
    <row r="337" spans="1:5" x14ac:dyDescent="0.3">
      <c r="A337" s="24" t="s">
        <v>813</v>
      </c>
      <c r="B337" s="25" t="s">
        <v>814</v>
      </c>
      <c r="C337" s="24" t="s">
        <v>273</v>
      </c>
      <c r="D337" s="26">
        <v>59.27</v>
      </c>
      <c r="E337" s="28"/>
    </row>
    <row r="338" spans="1:5" x14ac:dyDescent="0.3">
      <c r="A338" s="24" t="s">
        <v>815</v>
      </c>
      <c r="B338" s="25" t="s">
        <v>816</v>
      </c>
      <c r="C338" s="31" t="s">
        <v>198</v>
      </c>
      <c r="D338" s="26">
        <v>9.4700000000000006</v>
      </c>
      <c r="E338" s="28"/>
    </row>
    <row r="339" spans="1:5" ht="27" x14ac:dyDescent="0.3">
      <c r="A339" s="24" t="s">
        <v>817</v>
      </c>
      <c r="B339" s="25" t="s">
        <v>818</v>
      </c>
      <c r="C339" s="24" t="s">
        <v>819</v>
      </c>
      <c r="D339" s="26">
        <v>23.608000000000001</v>
      </c>
      <c r="E339" s="28"/>
    </row>
    <row r="340" spans="1:5" x14ac:dyDescent="0.3">
      <c r="A340" s="24" t="s">
        <v>820</v>
      </c>
      <c r="B340" s="25" t="s">
        <v>821</v>
      </c>
      <c r="C340" s="24" t="s">
        <v>822</v>
      </c>
      <c r="D340" s="26">
        <v>78.731999999999999</v>
      </c>
      <c r="E340" s="28"/>
    </row>
    <row r="341" spans="1:5" x14ac:dyDescent="0.3">
      <c r="A341" s="24" t="s">
        <v>823</v>
      </c>
      <c r="B341" s="25" t="s">
        <v>824</v>
      </c>
      <c r="C341" s="24" t="s">
        <v>825</v>
      </c>
      <c r="D341" s="26">
        <v>4.7569999999999997</v>
      </c>
      <c r="E341" s="28"/>
    </row>
    <row r="342" spans="1:5" ht="27" x14ac:dyDescent="0.3">
      <c r="A342" s="24" t="s">
        <v>826</v>
      </c>
      <c r="B342" s="25" t="s">
        <v>827</v>
      </c>
      <c r="C342" s="24" t="s">
        <v>825</v>
      </c>
      <c r="D342" s="26">
        <v>30.103999999999999</v>
      </c>
      <c r="E342" s="28"/>
    </row>
    <row r="343" spans="1:5" x14ac:dyDescent="0.3">
      <c r="A343" s="24" t="s">
        <v>828</v>
      </c>
      <c r="B343" s="25" t="s">
        <v>829</v>
      </c>
      <c r="C343" s="24" t="s">
        <v>396</v>
      </c>
      <c r="D343" s="26">
        <v>9.9540000000000006</v>
      </c>
      <c r="E343" s="28"/>
    </row>
    <row r="344" spans="1:5" x14ac:dyDescent="0.3">
      <c r="A344" s="24" t="s">
        <v>830</v>
      </c>
      <c r="B344" s="25" t="s">
        <v>831</v>
      </c>
      <c r="C344" s="24" t="s">
        <v>198</v>
      </c>
      <c r="D344" s="26">
        <v>0.08</v>
      </c>
      <c r="E344" s="28"/>
    </row>
    <row r="345" spans="1:5" x14ac:dyDescent="0.3">
      <c r="A345" s="29" t="s">
        <v>832</v>
      </c>
      <c r="B345" s="25" t="s">
        <v>833</v>
      </c>
      <c r="C345" s="24" t="s">
        <v>834</v>
      </c>
      <c r="D345" s="26">
        <v>73.504999999999995</v>
      </c>
      <c r="E345" s="28"/>
    </row>
    <row r="346" spans="1:5" x14ac:dyDescent="0.3">
      <c r="A346" s="24" t="s">
        <v>835</v>
      </c>
      <c r="B346" s="25" t="s">
        <v>836</v>
      </c>
      <c r="C346" s="24" t="s">
        <v>381</v>
      </c>
      <c r="D346" s="26">
        <v>12.519</v>
      </c>
      <c r="E346" s="28"/>
    </row>
    <row r="347" spans="1:5" x14ac:dyDescent="0.3">
      <c r="A347" s="24" t="s">
        <v>837</v>
      </c>
      <c r="B347" s="25" t="s">
        <v>838</v>
      </c>
      <c r="C347" s="24" t="s">
        <v>839</v>
      </c>
      <c r="D347" s="26">
        <v>108.053</v>
      </c>
      <c r="E347" s="28"/>
    </row>
    <row r="348" spans="1:5" x14ac:dyDescent="0.3">
      <c r="A348" s="24" t="s">
        <v>840</v>
      </c>
      <c r="B348" s="25" t="s">
        <v>841</v>
      </c>
      <c r="C348" s="24" t="s">
        <v>491</v>
      </c>
      <c r="D348" s="26">
        <v>0.41552000000000006</v>
      </c>
      <c r="E348" s="28"/>
    </row>
    <row r="349" spans="1:5" x14ac:dyDescent="0.3">
      <c r="A349" s="24" t="s">
        <v>842</v>
      </c>
      <c r="B349" s="25" t="s">
        <v>843</v>
      </c>
      <c r="C349" s="24" t="s">
        <v>325</v>
      </c>
      <c r="D349" s="26">
        <v>42.396000000000001</v>
      </c>
      <c r="E349" s="28"/>
    </row>
    <row r="350" spans="1:5" x14ac:dyDescent="0.3">
      <c r="A350" s="24" t="s">
        <v>844</v>
      </c>
      <c r="B350" s="25" t="s">
        <v>845</v>
      </c>
      <c r="C350" s="24" t="s">
        <v>199</v>
      </c>
      <c r="D350" s="26">
        <v>100.76900000000001</v>
      </c>
      <c r="E350" s="28"/>
    </row>
    <row r="351" spans="1:5" ht="27" x14ac:dyDescent="0.3">
      <c r="A351" s="24" t="s">
        <v>846</v>
      </c>
      <c r="B351" s="25" t="s">
        <v>847</v>
      </c>
      <c r="C351" s="24" t="s">
        <v>848</v>
      </c>
      <c r="D351" s="26">
        <v>1.7290000000000001</v>
      </c>
      <c r="E351" s="28"/>
    </row>
    <row r="352" spans="1:5" x14ac:dyDescent="0.3">
      <c r="A352" s="24" t="s">
        <v>853</v>
      </c>
      <c r="B352" s="25" t="s">
        <v>854</v>
      </c>
      <c r="C352" s="24" t="s">
        <v>198</v>
      </c>
      <c r="D352" s="26">
        <v>87.686000000000007</v>
      </c>
      <c r="E352" s="28"/>
    </row>
    <row r="353" spans="1:5" x14ac:dyDescent="0.3">
      <c r="A353" s="24" t="s">
        <v>855</v>
      </c>
      <c r="B353" s="25" t="s">
        <v>856</v>
      </c>
      <c r="C353" s="24" t="s">
        <v>405</v>
      </c>
      <c r="D353" s="26">
        <v>31.577000000000002</v>
      </c>
      <c r="E353" s="28"/>
    </row>
    <row r="354" spans="1:5" x14ac:dyDescent="0.3">
      <c r="A354" s="24" t="s">
        <v>857</v>
      </c>
      <c r="B354" s="25" t="s">
        <v>858</v>
      </c>
      <c r="C354" s="24" t="s">
        <v>273</v>
      </c>
      <c r="D354" s="26">
        <v>0.80600000000000005</v>
      </c>
      <c r="E354" s="28"/>
    </row>
    <row r="355" spans="1:5" x14ac:dyDescent="0.3">
      <c r="A355" s="31" t="s">
        <v>859</v>
      </c>
      <c r="B355" s="25" t="s">
        <v>860</v>
      </c>
      <c r="C355" s="31" t="s">
        <v>371</v>
      </c>
      <c r="D355" s="26">
        <v>40.338000000000001</v>
      </c>
      <c r="E355" s="28"/>
    </row>
    <row r="356" spans="1:5" x14ac:dyDescent="0.3">
      <c r="A356" s="24" t="s">
        <v>861</v>
      </c>
      <c r="B356" s="25" t="s">
        <v>862</v>
      </c>
      <c r="C356" s="24" t="s">
        <v>749</v>
      </c>
      <c r="D356" s="26">
        <v>108.38500000000001</v>
      </c>
      <c r="E356" s="28"/>
    </row>
    <row r="357" spans="1:5" x14ac:dyDescent="0.3">
      <c r="A357" s="31" t="s">
        <v>863</v>
      </c>
      <c r="B357" s="25" t="s">
        <v>864</v>
      </c>
      <c r="C357" s="31" t="s">
        <v>198</v>
      </c>
      <c r="D357" s="26">
        <v>1.4830000000000001</v>
      </c>
      <c r="E357" s="28"/>
    </row>
    <row r="358" spans="1:5" x14ac:dyDescent="0.3">
      <c r="A358" s="24" t="s">
        <v>865</v>
      </c>
      <c r="B358" s="25" t="s">
        <v>866</v>
      </c>
      <c r="C358" s="24" t="s">
        <v>199</v>
      </c>
      <c r="D358" s="26">
        <v>5.8449999999999998</v>
      </c>
      <c r="E358" s="28"/>
    </row>
    <row r="359" spans="1:5" x14ac:dyDescent="0.3">
      <c r="A359" s="24" t="s">
        <v>867</v>
      </c>
      <c r="B359" s="25" t="s">
        <v>868</v>
      </c>
      <c r="C359" s="24" t="s">
        <v>198</v>
      </c>
      <c r="D359" s="26">
        <v>121.786</v>
      </c>
      <c r="E359" s="28"/>
    </row>
    <row r="360" spans="1:5" x14ac:dyDescent="0.3">
      <c r="A360" s="24" t="s">
        <v>869</v>
      </c>
      <c r="B360" s="25" t="s">
        <v>870</v>
      </c>
      <c r="C360" s="24" t="s">
        <v>198</v>
      </c>
      <c r="D360" s="26">
        <v>2.5590000000000002</v>
      </c>
      <c r="E360" s="28"/>
    </row>
    <row r="361" spans="1:5" ht="27" x14ac:dyDescent="0.3">
      <c r="A361" s="24" t="s">
        <v>871</v>
      </c>
      <c r="B361" s="25" t="s">
        <v>872</v>
      </c>
      <c r="C361" s="24" t="s">
        <v>198</v>
      </c>
      <c r="D361" s="26">
        <v>5.0999999999999997E-2</v>
      </c>
      <c r="E361" s="28"/>
    </row>
    <row r="362" spans="1:5" ht="27" x14ac:dyDescent="0.3">
      <c r="A362" s="24" t="s">
        <v>873</v>
      </c>
      <c r="B362" s="25" t="s">
        <v>874</v>
      </c>
      <c r="C362" s="31" t="s">
        <v>198</v>
      </c>
      <c r="D362" s="26">
        <v>1.4139999999999999</v>
      </c>
      <c r="E362" s="28"/>
    </row>
    <row r="363" spans="1:5" ht="27" x14ac:dyDescent="0.3">
      <c r="A363" s="24" t="s">
        <v>875</v>
      </c>
      <c r="B363" s="25" t="s">
        <v>876</v>
      </c>
      <c r="C363" s="24" t="s">
        <v>209</v>
      </c>
      <c r="D363" s="26">
        <v>33.197000000000003</v>
      </c>
      <c r="E363" s="28"/>
    </row>
    <row r="364" spans="1:5" x14ac:dyDescent="0.3">
      <c r="A364" s="24" t="s">
        <v>877</v>
      </c>
      <c r="B364" s="25" t="s">
        <v>878</v>
      </c>
      <c r="C364" s="24" t="s">
        <v>879</v>
      </c>
      <c r="D364" s="26">
        <v>1690.3030000000001</v>
      </c>
      <c r="E364" s="28"/>
    </row>
    <row r="365" spans="1:5" x14ac:dyDescent="0.3">
      <c r="A365" s="24" t="s">
        <v>880</v>
      </c>
      <c r="B365" s="25" t="s">
        <v>881</v>
      </c>
      <c r="C365" s="24" t="s">
        <v>198</v>
      </c>
      <c r="D365" s="26">
        <v>1.6879999999999999</v>
      </c>
      <c r="E365" s="28"/>
    </row>
    <row r="366" spans="1:5" x14ac:dyDescent="0.3">
      <c r="A366" s="24" t="s">
        <v>882</v>
      </c>
      <c r="B366" s="25" t="s">
        <v>883</v>
      </c>
      <c r="C366" s="24" t="s">
        <v>198</v>
      </c>
      <c r="D366" s="26">
        <v>126.875</v>
      </c>
      <c r="E366" s="28"/>
    </row>
    <row r="367" spans="1:5" x14ac:dyDescent="0.3">
      <c r="A367" s="24" t="s">
        <v>884</v>
      </c>
      <c r="B367" s="25" t="s">
        <v>885</v>
      </c>
      <c r="C367" s="24" t="s">
        <v>442</v>
      </c>
      <c r="D367" s="26">
        <v>36.549999999999997</v>
      </c>
      <c r="E367" s="28"/>
    </row>
    <row r="368" spans="1:5" ht="27" x14ac:dyDescent="0.3">
      <c r="A368" s="24" t="s">
        <v>886</v>
      </c>
      <c r="B368" s="25" t="s">
        <v>887</v>
      </c>
      <c r="C368" s="24" t="s">
        <v>494</v>
      </c>
      <c r="D368" s="26">
        <v>2.9380000000000002</v>
      </c>
      <c r="E368" s="28"/>
    </row>
    <row r="369" spans="1:5" x14ac:dyDescent="0.3">
      <c r="A369" s="24" t="s">
        <v>890</v>
      </c>
      <c r="B369" s="25" t="s">
        <v>891</v>
      </c>
      <c r="C369" s="24" t="s">
        <v>198</v>
      </c>
      <c r="D369" s="26">
        <v>64.915000000000006</v>
      </c>
      <c r="E369" s="28"/>
    </row>
    <row r="370" spans="1:5" ht="27" x14ac:dyDescent="0.3">
      <c r="A370" s="24" t="s">
        <v>892</v>
      </c>
      <c r="B370" s="25" t="s">
        <v>893</v>
      </c>
      <c r="C370" s="24" t="s">
        <v>198</v>
      </c>
      <c r="D370" s="26">
        <v>3.8519999999999999</v>
      </c>
      <c r="E370" s="28"/>
    </row>
    <row r="371" spans="1:5" x14ac:dyDescent="0.3">
      <c r="A371" s="24" t="s">
        <v>894</v>
      </c>
      <c r="B371" s="25" t="s">
        <v>895</v>
      </c>
      <c r="C371" s="24" t="s">
        <v>199</v>
      </c>
      <c r="D371" s="26">
        <v>1.587</v>
      </c>
      <c r="E371" s="28"/>
    </row>
    <row r="372" spans="1:5" ht="27" x14ac:dyDescent="0.3">
      <c r="A372" s="24" t="s">
        <v>896</v>
      </c>
      <c r="B372" s="25" t="s">
        <v>897</v>
      </c>
      <c r="C372" s="31" t="s">
        <v>198</v>
      </c>
      <c r="D372" s="26">
        <v>18.881</v>
      </c>
      <c r="E372" s="28"/>
    </row>
    <row r="373" spans="1:5" x14ac:dyDescent="0.3">
      <c r="A373" s="24" t="s">
        <v>898</v>
      </c>
      <c r="B373" s="25" t="s">
        <v>899</v>
      </c>
      <c r="C373" s="24" t="s">
        <v>670</v>
      </c>
      <c r="D373" s="26">
        <v>248.39099999999999</v>
      </c>
      <c r="E373" s="28"/>
    </row>
    <row r="374" spans="1:5" ht="27" x14ac:dyDescent="0.3">
      <c r="A374" s="24" t="s">
        <v>900</v>
      </c>
      <c r="B374" s="25" t="s">
        <v>901</v>
      </c>
      <c r="C374" s="24" t="s">
        <v>198</v>
      </c>
      <c r="D374" s="26">
        <v>190.70699999999999</v>
      </c>
      <c r="E374" s="28"/>
    </row>
    <row r="375" spans="1:5" ht="27" x14ac:dyDescent="0.3">
      <c r="A375" s="24" t="s">
        <v>902</v>
      </c>
      <c r="B375" s="25" t="s">
        <v>903</v>
      </c>
      <c r="C375" s="24" t="s">
        <v>198</v>
      </c>
      <c r="D375" s="26">
        <v>11.996</v>
      </c>
      <c r="E375" s="28"/>
    </row>
    <row r="376" spans="1:5" x14ac:dyDescent="0.3">
      <c r="A376" s="24" t="s">
        <v>904</v>
      </c>
      <c r="B376" s="25" t="s">
        <v>905</v>
      </c>
      <c r="C376" s="24" t="s">
        <v>200</v>
      </c>
      <c r="D376" s="26">
        <v>10.112</v>
      </c>
      <c r="E376" s="28"/>
    </row>
    <row r="377" spans="1:5" x14ac:dyDescent="0.3">
      <c r="A377" s="24" t="s">
        <v>906</v>
      </c>
      <c r="B377" s="25" t="s">
        <v>907</v>
      </c>
      <c r="C377" s="24" t="s">
        <v>284</v>
      </c>
      <c r="D377" s="26">
        <v>3.6469999999999998</v>
      </c>
      <c r="E377" s="28"/>
    </row>
    <row r="378" spans="1:5" x14ac:dyDescent="0.3">
      <c r="A378" s="31" t="s">
        <v>908</v>
      </c>
      <c r="B378" s="25" t="s">
        <v>909</v>
      </c>
      <c r="C378" s="31" t="s">
        <v>198</v>
      </c>
      <c r="D378" s="26">
        <v>20.131</v>
      </c>
      <c r="E378" s="28"/>
    </row>
    <row r="379" spans="1:5" x14ac:dyDescent="0.3">
      <c r="A379" s="24" t="s">
        <v>910</v>
      </c>
      <c r="B379" s="25" t="s">
        <v>911</v>
      </c>
      <c r="C379" s="24" t="s">
        <v>360</v>
      </c>
      <c r="D379" s="26">
        <v>345.13900000000001</v>
      </c>
      <c r="E379" s="28"/>
    </row>
    <row r="380" spans="1:5" x14ac:dyDescent="0.3">
      <c r="A380" s="24" t="s">
        <v>912</v>
      </c>
      <c r="B380" s="25" t="s">
        <v>913</v>
      </c>
      <c r="C380" s="24" t="s">
        <v>273</v>
      </c>
      <c r="D380" s="26">
        <v>11.05</v>
      </c>
      <c r="E380" s="28"/>
    </row>
    <row r="381" spans="1:5" x14ac:dyDescent="0.3">
      <c r="A381" s="24" t="s">
        <v>914</v>
      </c>
      <c r="B381" s="25" t="s">
        <v>915</v>
      </c>
      <c r="C381" s="24" t="s">
        <v>553</v>
      </c>
      <c r="D381" s="26">
        <v>7.28</v>
      </c>
      <c r="E381" s="28"/>
    </row>
    <row r="382" spans="1:5" x14ac:dyDescent="0.3">
      <c r="A382" s="24" t="s">
        <v>916</v>
      </c>
      <c r="B382" s="25" t="s">
        <v>917</v>
      </c>
      <c r="C382" s="24" t="s">
        <v>257</v>
      </c>
      <c r="D382" s="26">
        <v>2.5640000000000001</v>
      </c>
      <c r="E382" s="28"/>
    </row>
    <row r="383" spans="1:5" x14ac:dyDescent="0.3">
      <c r="A383" s="24" t="s">
        <v>918</v>
      </c>
      <c r="B383" s="25" t="s">
        <v>919</v>
      </c>
      <c r="C383" s="24" t="s">
        <v>257</v>
      </c>
      <c r="D383" s="26">
        <v>9.0060000000000002</v>
      </c>
      <c r="E383" s="28"/>
    </row>
    <row r="384" spans="1:5" x14ac:dyDescent="0.3">
      <c r="A384" s="24" t="s">
        <v>920</v>
      </c>
      <c r="B384" s="25" t="s">
        <v>921</v>
      </c>
      <c r="C384" s="24" t="s">
        <v>922</v>
      </c>
      <c r="D384" s="26">
        <v>1.8340000000000001</v>
      </c>
      <c r="E384" s="28"/>
    </row>
    <row r="385" spans="1:5" x14ac:dyDescent="0.3">
      <c r="A385" s="24" t="s">
        <v>923</v>
      </c>
      <c r="B385" s="25" t="s">
        <v>924</v>
      </c>
      <c r="C385" s="24" t="s">
        <v>198</v>
      </c>
      <c r="D385" s="26">
        <v>4.1890000000000001</v>
      </c>
      <c r="E385" s="28"/>
    </row>
    <row r="386" spans="1:5" x14ac:dyDescent="0.3">
      <c r="A386" s="24" t="s">
        <v>925</v>
      </c>
      <c r="B386" s="25" t="s">
        <v>926</v>
      </c>
      <c r="C386" s="24" t="s">
        <v>199</v>
      </c>
      <c r="D386" s="26">
        <v>2.3140000000000001</v>
      </c>
      <c r="E386" s="28"/>
    </row>
    <row r="387" spans="1:5" x14ac:dyDescent="0.3">
      <c r="A387" s="31" t="s">
        <v>927</v>
      </c>
      <c r="B387" s="25" t="s">
        <v>928</v>
      </c>
      <c r="C387" s="31" t="s">
        <v>354</v>
      </c>
      <c r="D387" s="26">
        <v>0.42499999999999999</v>
      </c>
      <c r="E387" s="28"/>
    </row>
    <row r="388" spans="1:5" x14ac:dyDescent="0.3">
      <c r="A388" s="24" t="s">
        <v>929</v>
      </c>
      <c r="B388" s="25" t="s">
        <v>930</v>
      </c>
      <c r="C388" s="24" t="s">
        <v>931</v>
      </c>
      <c r="D388" s="26">
        <v>0.35799999999999998</v>
      </c>
      <c r="E388" s="28"/>
    </row>
    <row r="389" spans="1:5" x14ac:dyDescent="0.3">
      <c r="A389" s="24" t="s">
        <v>932</v>
      </c>
      <c r="B389" s="25" t="s">
        <v>933</v>
      </c>
      <c r="C389" s="24" t="s">
        <v>284</v>
      </c>
      <c r="D389" s="26">
        <v>0.68400000000000005</v>
      </c>
      <c r="E389" s="28"/>
    </row>
    <row r="390" spans="1:5" x14ac:dyDescent="0.3">
      <c r="A390" s="24" t="s">
        <v>934</v>
      </c>
      <c r="B390" s="25" t="s">
        <v>935</v>
      </c>
      <c r="C390" s="24" t="s">
        <v>936</v>
      </c>
      <c r="D390" s="26">
        <v>0.18</v>
      </c>
      <c r="E390" s="28"/>
    </row>
    <row r="391" spans="1:5" x14ac:dyDescent="0.3">
      <c r="A391" s="24" t="s">
        <v>937</v>
      </c>
      <c r="B391" s="25" t="s">
        <v>938</v>
      </c>
      <c r="C391" s="24" t="s">
        <v>199</v>
      </c>
      <c r="D391" s="26">
        <v>1.5129999999999999</v>
      </c>
      <c r="E391" s="28"/>
    </row>
    <row r="392" spans="1:5" x14ac:dyDescent="0.3">
      <c r="A392" s="24" t="s">
        <v>939</v>
      </c>
      <c r="B392" s="25" t="s">
        <v>940</v>
      </c>
      <c r="C392" s="24" t="s">
        <v>199</v>
      </c>
      <c r="D392" s="26">
        <v>18.452999999999999</v>
      </c>
      <c r="E392" s="28"/>
    </row>
    <row r="393" spans="1:5" x14ac:dyDescent="0.3">
      <c r="A393" s="24" t="s">
        <v>941</v>
      </c>
      <c r="B393" s="25" t="s">
        <v>942</v>
      </c>
      <c r="C393" s="24" t="s">
        <v>198</v>
      </c>
      <c r="D393" s="26">
        <v>11.599</v>
      </c>
      <c r="E393" s="28"/>
    </row>
    <row r="394" spans="1:5" x14ac:dyDescent="0.3">
      <c r="A394" s="24" t="s">
        <v>943</v>
      </c>
      <c r="B394" s="25" t="s">
        <v>944</v>
      </c>
      <c r="C394" s="24" t="s">
        <v>945</v>
      </c>
      <c r="D394" s="26">
        <v>2.4790000000000001</v>
      </c>
      <c r="E394" s="28"/>
    </row>
    <row r="395" spans="1:5" x14ac:dyDescent="0.3">
      <c r="A395" s="24" t="s">
        <v>946</v>
      </c>
      <c r="B395" s="25" t="s">
        <v>944</v>
      </c>
      <c r="C395" s="24" t="s">
        <v>947</v>
      </c>
      <c r="D395" s="26">
        <v>1.24</v>
      </c>
      <c r="E395" s="28"/>
    </row>
    <row r="396" spans="1:5" x14ac:dyDescent="0.3">
      <c r="A396" s="24" t="s">
        <v>948</v>
      </c>
      <c r="B396" s="25" t="s">
        <v>949</v>
      </c>
      <c r="C396" s="24" t="s">
        <v>947</v>
      </c>
      <c r="D396" s="26">
        <v>0.96799999999999997</v>
      </c>
      <c r="E396" s="28"/>
    </row>
    <row r="397" spans="1:5" x14ac:dyDescent="0.3">
      <c r="A397" s="24" t="s">
        <v>950</v>
      </c>
      <c r="B397" s="25" t="s">
        <v>944</v>
      </c>
      <c r="C397" s="24" t="s">
        <v>951</v>
      </c>
      <c r="D397" s="26">
        <v>0.62</v>
      </c>
      <c r="E397" s="28"/>
    </row>
    <row r="398" spans="1:5" x14ac:dyDescent="0.3">
      <c r="A398" s="24" t="s">
        <v>952</v>
      </c>
      <c r="B398" s="25" t="s">
        <v>953</v>
      </c>
      <c r="C398" s="24" t="s">
        <v>947</v>
      </c>
      <c r="D398" s="26">
        <v>1.958</v>
      </c>
      <c r="E398" s="28"/>
    </row>
    <row r="399" spans="1:5" x14ac:dyDescent="0.3">
      <c r="A399" s="24" t="s">
        <v>954</v>
      </c>
      <c r="B399" s="25" t="s">
        <v>955</v>
      </c>
      <c r="C399" s="24" t="s">
        <v>956</v>
      </c>
      <c r="D399" s="26">
        <v>3.8940000000000001</v>
      </c>
      <c r="E399" s="28"/>
    </row>
    <row r="400" spans="1:5" x14ac:dyDescent="0.3">
      <c r="A400" s="24" t="s">
        <v>957</v>
      </c>
      <c r="B400" s="25" t="s">
        <v>958</v>
      </c>
      <c r="C400" s="24" t="s">
        <v>956</v>
      </c>
      <c r="D400" s="26">
        <v>2.367</v>
      </c>
      <c r="E400" s="28"/>
    </row>
    <row r="401" spans="1:5" ht="27" x14ac:dyDescent="0.3">
      <c r="A401" s="24" t="s">
        <v>959</v>
      </c>
      <c r="B401" s="25" t="s">
        <v>960</v>
      </c>
      <c r="C401" s="24" t="s">
        <v>396</v>
      </c>
      <c r="D401" s="26">
        <v>47.365000000000002</v>
      </c>
      <c r="E401" s="28"/>
    </row>
    <row r="402" spans="1:5" x14ac:dyDescent="0.3">
      <c r="A402" s="24" t="s">
        <v>961</v>
      </c>
      <c r="B402" s="25" t="s">
        <v>962</v>
      </c>
      <c r="C402" s="24" t="s">
        <v>963</v>
      </c>
      <c r="D402" s="26">
        <v>7.5129999999999999</v>
      </c>
      <c r="E402" s="28"/>
    </row>
    <row r="403" spans="1:5" ht="27" x14ac:dyDescent="0.3">
      <c r="A403" s="24" t="s">
        <v>964</v>
      </c>
      <c r="B403" s="25" t="s">
        <v>965</v>
      </c>
      <c r="C403" s="24" t="s">
        <v>963</v>
      </c>
      <c r="D403" s="26">
        <v>1.198</v>
      </c>
      <c r="E403" s="28"/>
    </row>
    <row r="404" spans="1:5" x14ac:dyDescent="0.3">
      <c r="A404" s="24" t="s">
        <v>966</v>
      </c>
      <c r="B404" s="25" t="s">
        <v>967</v>
      </c>
      <c r="C404" s="24" t="s">
        <v>963</v>
      </c>
      <c r="D404" s="26">
        <v>1.875</v>
      </c>
      <c r="E404" s="28"/>
    </row>
    <row r="405" spans="1:5" x14ac:dyDescent="0.3">
      <c r="A405" s="24" t="s">
        <v>968</v>
      </c>
      <c r="B405" s="25" t="s">
        <v>969</v>
      </c>
      <c r="C405" s="24" t="s">
        <v>963</v>
      </c>
      <c r="D405" s="26">
        <v>8.4700000000000006</v>
      </c>
      <c r="E405" s="28"/>
    </row>
    <row r="406" spans="1:5" ht="27" x14ac:dyDescent="0.3">
      <c r="A406" s="24" t="s">
        <v>970</v>
      </c>
      <c r="B406" s="25" t="s">
        <v>971</v>
      </c>
      <c r="C406" s="24" t="s">
        <v>963</v>
      </c>
      <c r="D406" s="26">
        <v>15.151</v>
      </c>
      <c r="E406" s="28"/>
    </row>
    <row r="407" spans="1:5" ht="27" x14ac:dyDescent="0.3">
      <c r="A407" s="31" t="s">
        <v>972</v>
      </c>
      <c r="B407" s="25" t="s">
        <v>973</v>
      </c>
      <c r="C407" s="24" t="s">
        <v>963</v>
      </c>
      <c r="D407" s="26">
        <v>1.2969999999999999</v>
      </c>
      <c r="E407" s="28"/>
    </row>
    <row r="408" spans="1:5" x14ac:dyDescent="0.3">
      <c r="A408" s="24" t="s">
        <v>974</v>
      </c>
      <c r="B408" s="25" t="s">
        <v>975</v>
      </c>
      <c r="C408" s="24" t="s">
        <v>976</v>
      </c>
      <c r="D408" s="26">
        <v>1.008</v>
      </c>
      <c r="E408" s="28"/>
    </row>
    <row r="409" spans="1:5" x14ac:dyDescent="0.3">
      <c r="A409" s="24" t="s">
        <v>977</v>
      </c>
      <c r="B409" s="25" t="s">
        <v>978</v>
      </c>
      <c r="C409" s="24" t="s">
        <v>963</v>
      </c>
      <c r="D409" s="26">
        <v>1.2509999999999999</v>
      </c>
      <c r="E409" s="28"/>
    </row>
    <row r="410" spans="1:5" ht="27" x14ac:dyDescent="0.3">
      <c r="A410" s="24" t="s">
        <v>979</v>
      </c>
      <c r="B410" s="25" t="s">
        <v>980</v>
      </c>
      <c r="C410" s="29" t="s">
        <v>981</v>
      </c>
      <c r="D410" s="26">
        <v>1.046</v>
      </c>
      <c r="E410" s="28"/>
    </row>
    <row r="411" spans="1:5" x14ac:dyDescent="0.3">
      <c r="A411" s="24" t="s">
        <v>982</v>
      </c>
      <c r="B411" s="25" t="s">
        <v>983</v>
      </c>
      <c r="C411" s="24" t="s">
        <v>963</v>
      </c>
      <c r="D411" s="26">
        <v>1.1619999999999999</v>
      </c>
      <c r="E411" s="28"/>
    </row>
    <row r="412" spans="1:5" x14ac:dyDescent="0.3">
      <c r="A412" s="24" t="s">
        <v>984</v>
      </c>
      <c r="B412" s="25" t="s">
        <v>985</v>
      </c>
      <c r="C412" s="24" t="s">
        <v>963</v>
      </c>
      <c r="D412" s="26">
        <v>3.169</v>
      </c>
      <c r="E412" s="28"/>
    </row>
    <row r="413" spans="1:5" x14ac:dyDescent="0.3">
      <c r="A413" s="24" t="s">
        <v>986</v>
      </c>
      <c r="B413" s="25" t="s">
        <v>987</v>
      </c>
      <c r="C413" s="29" t="s">
        <v>452</v>
      </c>
      <c r="D413" s="26">
        <v>2.133</v>
      </c>
      <c r="E413" s="28"/>
    </row>
    <row r="414" spans="1:5" x14ac:dyDescent="0.3">
      <c r="A414" s="24" t="s">
        <v>988</v>
      </c>
      <c r="B414" s="25" t="s">
        <v>989</v>
      </c>
      <c r="C414" s="24" t="s">
        <v>963</v>
      </c>
      <c r="D414" s="26">
        <v>1.1439999999999999</v>
      </c>
      <c r="E414" s="28"/>
    </row>
    <row r="415" spans="1:5" x14ac:dyDescent="0.3">
      <c r="A415" s="24" t="s">
        <v>990</v>
      </c>
      <c r="B415" s="25" t="s">
        <v>991</v>
      </c>
      <c r="C415" s="36" t="s">
        <v>963</v>
      </c>
      <c r="D415" s="26">
        <v>1.28</v>
      </c>
      <c r="E415" s="28"/>
    </row>
    <row r="416" spans="1:5" x14ac:dyDescent="0.3">
      <c r="A416" s="24" t="s">
        <v>992</v>
      </c>
      <c r="B416" s="25" t="s">
        <v>993</v>
      </c>
      <c r="C416" s="24" t="s">
        <v>963</v>
      </c>
      <c r="D416" s="26">
        <v>1.1200000000000001</v>
      </c>
      <c r="E416" s="28"/>
    </row>
    <row r="417" spans="1:5" x14ac:dyDescent="0.3">
      <c r="A417" s="24" t="s">
        <v>994</v>
      </c>
      <c r="B417" s="25" t="s">
        <v>995</v>
      </c>
      <c r="C417" s="24" t="s">
        <v>963</v>
      </c>
      <c r="D417" s="26">
        <v>1.4350000000000001</v>
      </c>
      <c r="E417" s="28"/>
    </row>
    <row r="418" spans="1:5" x14ac:dyDescent="0.3">
      <c r="A418" s="24" t="s">
        <v>996</v>
      </c>
      <c r="B418" s="25" t="s">
        <v>997</v>
      </c>
      <c r="C418" s="24" t="s">
        <v>963</v>
      </c>
      <c r="D418" s="26">
        <v>1.5069999999999999</v>
      </c>
      <c r="E418" s="28"/>
    </row>
    <row r="419" spans="1:5" x14ac:dyDescent="0.3">
      <c r="A419" s="24" t="s">
        <v>998</v>
      </c>
      <c r="B419" s="25" t="s">
        <v>999</v>
      </c>
      <c r="C419" s="24" t="s">
        <v>963</v>
      </c>
      <c r="D419" s="26">
        <v>3.407</v>
      </c>
      <c r="E419" s="28"/>
    </row>
    <row r="420" spans="1:5" x14ac:dyDescent="0.3">
      <c r="A420" s="24" t="s">
        <v>1000</v>
      </c>
      <c r="B420" s="25" t="s">
        <v>1001</v>
      </c>
      <c r="C420" s="24" t="s">
        <v>963</v>
      </c>
      <c r="D420" s="26">
        <v>1.9279999999999999</v>
      </c>
      <c r="E420" s="28"/>
    </row>
    <row r="421" spans="1:5" ht="27" x14ac:dyDescent="0.3">
      <c r="A421" s="24" t="s">
        <v>1002</v>
      </c>
      <c r="B421" s="25" t="s">
        <v>1003</v>
      </c>
      <c r="C421" s="24" t="s">
        <v>963</v>
      </c>
      <c r="D421" s="26">
        <v>1.399</v>
      </c>
      <c r="E421" s="28"/>
    </row>
    <row r="422" spans="1:5" x14ac:dyDescent="0.3">
      <c r="A422" s="24" t="s">
        <v>1004</v>
      </c>
      <c r="B422" s="25" t="s">
        <v>1005</v>
      </c>
      <c r="C422" s="24" t="s">
        <v>963</v>
      </c>
      <c r="D422" s="26">
        <v>3.12</v>
      </c>
      <c r="E422" s="28"/>
    </row>
    <row r="423" spans="1:5" x14ac:dyDescent="0.3">
      <c r="A423" s="24" t="s">
        <v>1006</v>
      </c>
      <c r="B423" s="25" t="s">
        <v>1007</v>
      </c>
      <c r="C423" s="24" t="s">
        <v>963</v>
      </c>
      <c r="D423" s="26">
        <v>4.3070000000000004</v>
      </c>
      <c r="E423" s="28"/>
    </row>
    <row r="424" spans="1:5" x14ac:dyDescent="0.3">
      <c r="A424" s="24" t="s">
        <v>1008</v>
      </c>
      <c r="B424" s="25" t="s">
        <v>1009</v>
      </c>
      <c r="C424" s="24" t="s">
        <v>963</v>
      </c>
      <c r="D424" s="26">
        <v>2.0960000000000001</v>
      </c>
      <c r="E424" s="28"/>
    </row>
    <row r="425" spans="1:5" ht="27" x14ac:dyDescent="0.3">
      <c r="A425" s="24" t="s">
        <v>1010</v>
      </c>
      <c r="B425" s="25" t="s">
        <v>1011</v>
      </c>
      <c r="C425" s="24" t="s">
        <v>963</v>
      </c>
      <c r="D425" s="26">
        <v>1.625</v>
      </c>
      <c r="E425" s="28"/>
    </row>
    <row r="426" spans="1:5" x14ac:dyDescent="0.3">
      <c r="A426" s="24" t="s">
        <v>1012</v>
      </c>
      <c r="B426" s="25" t="s">
        <v>1013</v>
      </c>
      <c r="C426" s="24" t="s">
        <v>963</v>
      </c>
      <c r="D426" s="26">
        <v>2.0209999999999999</v>
      </c>
      <c r="E426" s="28"/>
    </row>
    <row r="427" spans="1:5" ht="27" x14ac:dyDescent="0.3">
      <c r="A427" s="24" t="s">
        <v>1014</v>
      </c>
      <c r="B427" s="25" t="s">
        <v>1015</v>
      </c>
      <c r="C427" s="24" t="s">
        <v>963</v>
      </c>
      <c r="D427" s="26">
        <v>1.3879999999999999</v>
      </c>
      <c r="E427" s="28"/>
    </row>
    <row r="428" spans="1:5" x14ac:dyDescent="0.3">
      <c r="A428" s="24" t="s">
        <v>1016</v>
      </c>
      <c r="B428" s="25" t="s">
        <v>1017</v>
      </c>
      <c r="C428" s="24" t="s">
        <v>963</v>
      </c>
      <c r="D428" s="26">
        <v>1.357</v>
      </c>
      <c r="E428" s="28"/>
    </row>
    <row r="429" spans="1:5" x14ac:dyDescent="0.3">
      <c r="A429" s="24" t="s">
        <v>1018</v>
      </c>
      <c r="B429" s="25" t="s">
        <v>1019</v>
      </c>
      <c r="C429" s="24" t="s">
        <v>963</v>
      </c>
      <c r="D429" s="26">
        <v>1.26</v>
      </c>
      <c r="E429" s="28"/>
    </row>
    <row r="430" spans="1:5" x14ac:dyDescent="0.3">
      <c r="A430" s="24" t="s">
        <v>1020</v>
      </c>
      <c r="B430" s="25" t="s">
        <v>1021</v>
      </c>
      <c r="C430" s="24" t="s">
        <v>1022</v>
      </c>
      <c r="D430" s="26">
        <v>401.38499999999999</v>
      </c>
      <c r="E430" s="28"/>
    </row>
    <row r="431" spans="1:5" ht="27" x14ac:dyDescent="0.3">
      <c r="A431" s="24" t="s">
        <v>1023</v>
      </c>
      <c r="B431" s="25" t="s">
        <v>1024</v>
      </c>
      <c r="C431" s="24" t="s">
        <v>1025</v>
      </c>
      <c r="D431" s="26">
        <v>20125.830999999998</v>
      </c>
      <c r="E431" s="28"/>
    </row>
    <row r="432" spans="1:5" ht="27" x14ac:dyDescent="0.3">
      <c r="A432" s="24" t="s">
        <v>1026</v>
      </c>
      <c r="B432" s="25" t="s">
        <v>1027</v>
      </c>
      <c r="C432" s="24" t="s">
        <v>273</v>
      </c>
      <c r="D432" s="26">
        <v>199.809</v>
      </c>
      <c r="E432" s="28"/>
    </row>
    <row r="433" spans="1:5" x14ac:dyDescent="0.3">
      <c r="A433" s="31" t="s">
        <v>1028</v>
      </c>
      <c r="B433" s="25" t="s">
        <v>1029</v>
      </c>
      <c r="C433" s="31" t="s">
        <v>318</v>
      </c>
      <c r="D433" s="26">
        <v>490.94099999999997</v>
      </c>
      <c r="E433" s="28"/>
    </row>
    <row r="434" spans="1:5" x14ac:dyDescent="0.3">
      <c r="A434" s="31" t="s">
        <v>1030</v>
      </c>
      <c r="B434" s="25" t="s">
        <v>1031</v>
      </c>
      <c r="C434" s="31" t="s">
        <v>1032</v>
      </c>
      <c r="D434" s="26">
        <v>1046.9269999999999</v>
      </c>
      <c r="E434" s="28"/>
    </row>
    <row r="435" spans="1:5" ht="27" x14ac:dyDescent="0.3">
      <c r="A435" s="24" t="s">
        <v>1033</v>
      </c>
      <c r="B435" s="25" t="s">
        <v>1034</v>
      </c>
      <c r="C435" s="24" t="s">
        <v>1035</v>
      </c>
      <c r="D435" s="26">
        <v>74.852999999999994</v>
      </c>
      <c r="E435" s="28"/>
    </row>
    <row r="436" spans="1:5" x14ac:dyDescent="0.3">
      <c r="A436" s="24" t="s">
        <v>1036</v>
      </c>
      <c r="B436" s="25" t="s">
        <v>1037</v>
      </c>
      <c r="C436" s="24" t="s">
        <v>1035</v>
      </c>
      <c r="D436" s="26">
        <v>143.291</v>
      </c>
      <c r="E436" s="28"/>
    </row>
    <row r="437" spans="1:5" x14ac:dyDescent="0.3">
      <c r="A437" s="24" t="s">
        <v>1038</v>
      </c>
      <c r="B437" s="25" t="s">
        <v>1039</v>
      </c>
      <c r="C437" s="24" t="s">
        <v>198</v>
      </c>
      <c r="D437" s="26">
        <v>11.388</v>
      </c>
      <c r="E437" s="28"/>
    </row>
    <row r="438" spans="1:5" x14ac:dyDescent="0.3">
      <c r="A438" s="24" t="s">
        <v>1040</v>
      </c>
      <c r="B438" s="25" t="s">
        <v>1041</v>
      </c>
      <c r="C438" s="24" t="s">
        <v>1042</v>
      </c>
      <c r="D438" s="26">
        <v>3.1520000000000001</v>
      </c>
      <c r="E438" s="28"/>
    </row>
    <row r="439" spans="1:5" ht="27" x14ac:dyDescent="0.3">
      <c r="A439" s="24" t="s">
        <v>1043</v>
      </c>
      <c r="B439" s="25" t="s">
        <v>1044</v>
      </c>
      <c r="C439" s="24" t="s">
        <v>1045</v>
      </c>
      <c r="D439" s="26">
        <v>218.87899999999999</v>
      </c>
      <c r="E439" s="28"/>
    </row>
    <row r="440" spans="1:5" ht="27" x14ac:dyDescent="0.3">
      <c r="A440" s="31" t="s">
        <v>1046</v>
      </c>
      <c r="B440" s="25" t="s">
        <v>1047</v>
      </c>
      <c r="C440" s="31" t="s">
        <v>199</v>
      </c>
      <c r="D440" s="26">
        <v>1.456</v>
      </c>
      <c r="E440" s="28"/>
    </row>
    <row r="441" spans="1:5" x14ac:dyDescent="0.3">
      <c r="A441" s="24" t="s">
        <v>1048</v>
      </c>
      <c r="B441" s="25" t="s">
        <v>1049</v>
      </c>
      <c r="C441" s="24" t="s">
        <v>209</v>
      </c>
      <c r="D441" s="26">
        <v>0.92800000000000005</v>
      </c>
      <c r="E441" s="28"/>
    </row>
    <row r="442" spans="1:5" x14ac:dyDescent="0.3">
      <c r="A442" s="24" t="s">
        <v>1050</v>
      </c>
      <c r="B442" s="25" t="s">
        <v>1051</v>
      </c>
      <c r="C442" s="24" t="s">
        <v>257</v>
      </c>
      <c r="D442" s="26">
        <v>2.1779999999999999</v>
      </c>
      <c r="E442" s="28"/>
    </row>
    <row r="443" spans="1:5" x14ac:dyDescent="0.3">
      <c r="A443" s="31" t="s">
        <v>1052</v>
      </c>
      <c r="B443" s="25" t="s">
        <v>1053</v>
      </c>
      <c r="C443" s="31" t="s">
        <v>458</v>
      </c>
      <c r="D443" s="26">
        <v>1.32</v>
      </c>
      <c r="E443" s="28"/>
    </row>
    <row r="444" spans="1:5" ht="27" x14ac:dyDescent="0.3">
      <c r="A444" s="24" t="s">
        <v>1054</v>
      </c>
      <c r="B444" s="25" t="s">
        <v>1055</v>
      </c>
      <c r="C444" s="24" t="s">
        <v>295</v>
      </c>
      <c r="D444" s="26">
        <v>2072.2350000000001</v>
      </c>
      <c r="E444" s="28"/>
    </row>
    <row r="445" spans="1:5" ht="27" x14ac:dyDescent="0.3">
      <c r="A445" s="24" t="s">
        <v>1056</v>
      </c>
      <c r="B445" s="25" t="s">
        <v>1057</v>
      </c>
      <c r="C445" s="24" t="s">
        <v>198</v>
      </c>
      <c r="D445" s="26">
        <v>0.47399999999999998</v>
      </c>
      <c r="E445" s="28"/>
    </row>
    <row r="446" spans="1:5" x14ac:dyDescent="0.3">
      <c r="A446" s="31" t="s">
        <v>1058</v>
      </c>
      <c r="B446" s="25" t="s">
        <v>1059</v>
      </c>
      <c r="C446" s="31" t="s">
        <v>273</v>
      </c>
      <c r="D446" s="26">
        <v>0.47899999999999998</v>
      </c>
      <c r="E446" s="28"/>
    </row>
    <row r="447" spans="1:5" ht="27" x14ac:dyDescent="0.3">
      <c r="A447" s="24" t="s">
        <v>1064</v>
      </c>
      <c r="B447" s="25" t="s">
        <v>1065</v>
      </c>
      <c r="C447" s="24" t="s">
        <v>553</v>
      </c>
      <c r="D447" s="26">
        <v>761.12300000000005</v>
      </c>
      <c r="E447" s="28"/>
    </row>
    <row r="448" spans="1:5" ht="27" x14ac:dyDescent="0.3">
      <c r="A448" s="24" t="s">
        <v>1066</v>
      </c>
      <c r="B448" s="25" t="s">
        <v>1067</v>
      </c>
      <c r="C448" s="24" t="s">
        <v>198</v>
      </c>
      <c r="D448" s="26">
        <v>1.4999999999999999E-2</v>
      </c>
      <c r="E448" s="28"/>
    </row>
    <row r="449" spans="1:5" x14ac:dyDescent="0.3">
      <c r="A449" s="24" t="s">
        <v>1068</v>
      </c>
      <c r="B449" s="25" t="s">
        <v>1069</v>
      </c>
      <c r="C449" s="24" t="s">
        <v>553</v>
      </c>
      <c r="D449" s="26">
        <v>0.66500000000000004</v>
      </c>
      <c r="E449" s="28"/>
    </row>
    <row r="450" spans="1:5" ht="27" x14ac:dyDescent="0.3">
      <c r="A450" s="24" t="s">
        <v>1070</v>
      </c>
      <c r="B450" s="25" t="s">
        <v>1071</v>
      </c>
      <c r="C450" s="24" t="s">
        <v>295</v>
      </c>
      <c r="D450" s="26">
        <v>53.250999999999998</v>
      </c>
      <c r="E450" s="28"/>
    </row>
    <row r="451" spans="1:5" x14ac:dyDescent="0.3">
      <c r="A451" s="24" t="s">
        <v>1072</v>
      </c>
      <c r="B451" s="25" t="s">
        <v>1073</v>
      </c>
      <c r="C451" s="24" t="s">
        <v>295</v>
      </c>
      <c r="D451" s="26">
        <v>0.63200000000000001</v>
      </c>
      <c r="E451" s="28"/>
    </row>
    <row r="452" spans="1:5" x14ac:dyDescent="0.3">
      <c r="A452" s="24" t="s">
        <v>1074</v>
      </c>
      <c r="B452" s="25" t="s">
        <v>1075</v>
      </c>
      <c r="C452" s="24" t="s">
        <v>1076</v>
      </c>
      <c r="D452" s="26">
        <v>2.9790000000000001</v>
      </c>
      <c r="E452" s="28"/>
    </row>
    <row r="453" spans="1:5" x14ac:dyDescent="0.3">
      <c r="A453" s="24" t="s">
        <v>1077</v>
      </c>
      <c r="B453" s="25" t="s">
        <v>1078</v>
      </c>
      <c r="C453" s="24" t="s">
        <v>198</v>
      </c>
      <c r="D453" s="26">
        <v>6.9560000000000004</v>
      </c>
      <c r="E453" s="28"/>
    </row>
    <row r="454" spans="1:5" x14ac:dyDescent="0.3">
      <c r="A454" s="24" t="s">
        <v>1079</v>
      </c>
      <c r="B454" s="25" t="s">
        <v>1080</v>
      </c>
      <c r="C454" s="24" t="s">
        <v>200</v>
      </c>
      <c r="D454" s="26">
        <v>211.78</v>
      </c>
      <c r="E454" s="28"/>
    </row>
    <row r="455" spans="1:5" x14ac:dyDescent="0.3">
      <c r="A455" s="24" t="s">
        <v>1083</v>
      </c>
      <c r="B455" s="25" t="s">
        <v>1084</v>
      </c>
      <c r="C455" s="24" t="s">
        <v>1085</v>
      </c>
      <c r="D455" s="26">
        <v>10.23</v>
      </c>
      <c r="E455" s="28"/>
    </row>
    <row r="456" spans="1:5" x14ac:dyDescent="0.3">
      <c r="A456" s="24" t="s">
        <v>1086</v>
      </c>
      <c r="B456" s="25" t="s">
        <v>1087</v>
      </c>
      <c r="C456" s="24" t="s">
        <v>239</v>
      </c>
      <c r="D456" s="26">
        <v>11.545999999999999</v>
      </c>
      <c r="E456" s="28"/>
    </row>
    <row r="457" spans="1:5" ht="27" x14ac:dyDescent="0.3">
      <c r="A457" s="24" t="s">
        <v>1088</v>
      </c>
      <c r="B457" s="25" t="s">
        <v>1089</v>
      </c>
      <c r="C457" s="24" t="s">
        <v>405</v>
      </c>
      <c r="D457" s="26">
        <v>5.968</v>
      </c>
      <c r="E457" s="28"/>
    </row>
    <row r="458" spans="1:5" x14ac:dyDescent="0.3">
      <c r="A458" s="24" t="s">
        <v>1090</v>
      </c>
      <c r="B458" s="25" t="s">
        <v>1091</v>
      </c>
      <c r="C458" s="24" t="s">
        <v>198</v>
      </c>
      <c r="D458" s="26">
        <v>0.16600000000000001</v>
      </c>
      <c r="E458" s="28"/>
    </row>
    <row r="459" spans="1:5" x14ac:dyDescent="0.3">
      <c r="A459" s="24" t="s">
        <v>1092</v>
      </c>
      <c r="B459" s="25" t="s">
        <v>1093</v>
      </c>
      <c r="C459" s="24" t="s">
        <v>396</v>
      </c>
      <c r="D459" s="26">
        <v>0.20899999999999999</v>
      </c>
      <c r="E459" s="28"/>
    </row>
    <row r="460" spans="1:5" x14ac:dyDescent="0.3">
      <c r="A460" s="24" t="s">
        <v>1094</v>
      </c>
      <c r="B460" s="25" t="s">
        <v>1095</v>
      </c>
      <c r="C460" s="24" t="s">
        <v>198</v>
      </c>
      <c r="D460" s="26">
        <v>4.2999999999999997E-2</v>
      </c>
      <c r="E460" s="28"/>
    </row>
    <row r="461" spans="1:5" x14ac:dyDescent="0.3">
      <c r="A461" s="24" t="s">
        <v>1096</v>
      </c>
      <c r="B461" s="25" t="s">
        <v>1097</v>
      </c>
      <c r="C461" s="24" t="s">
        <v>396</v>
      </c>
      <c r="D461" s="26">
        <v>6.6000000000000003E-2</v>
      </c>
      <c r="E461" s="28"/>
    </row>
    <row r="462" spans="1:5" ht="27" x14ac:dyDescent="0.3">
      <c r="A462" s="24" t="s">
        <v>1098</v>
      </c>
      <c r="B462" s="25" t="s">
        <v>1099</v>
      </c>
      <c r="C462" s="24" t="s">
        <v>1100</v>
      </c>
      <c r="D462" s="26">
        <v>0.13300000000000001</v>
      </c>
      <c r="E462" s="28"/>
    </row>
    <row r="463" spans="1:5" x14ac:dyDescent="0.3">
      <c r="A463" s="24" t="s">
        <v>1101</v>
      </c>
      <c r="B463" s="25" t="s">
        <v>1102</v>
      </c>
      <c r="C463" s="24" t="s">
        <v>396</v>
      </c>
      <c r="D463" s="26">
        <v>2.254</v>
      </c>
      <c r="E463" s="28"/>
    </row>
    <row r="464" spans="1:5" ht="27" x14ac:dyDescent="0.3">
      <c r="A464" s="24" t="s">
        <v>1103</v>
      </c>
      <c r="B464" s="25" t="s">
        <v>1104</v>
      </c>
      <c r="C464" s="24" t="s">
        <v>199</v>
      </c>
      <c r="D464" s="26">
        <v>5.3070000000000004</v>
      </c>
      <c r="E464" s="28"/>
    </row>
    <row r="465" spans="1:5" ht="27" x14ac:dyDescent="0.3">
      <c r="A465" s="24" t="s">
        <v>1105</v>
      </c>
      <c r="B465" s="25" t="s">
        <v>1106</v>
      </c>
      <c r="C465" s="24" t="s">
        <v>198</v>
      </c>
      <c r="D465" s="26">
        <v>47.78</v>
      </c>
      <c r="E465" s="28"/>
    </row>
    <row r="466" spans="1:5" ht="27" x14ac:dyDescent="0.3">
      <c r="A466" s="24" t="s">
        <v>1107</v>
      </c>
      <c r="B466" s="25" t="s">
        <v>1108</v>
      </c>
      <c r="C466" s="24" t="s">
        <v>198</v>
      </c>
      <c r="D466" s="26">
        <v>0.19700000000000001</v>
      </c>
      <c r="E466" s="28"/>
    </row>
    <row r="467" spans="1:5" x14ac:dyDescent="0.3">
      <c r="A467" s="24" t="s">
        <v>1109</v>
      </c>
      <c r="B467" s="25" t="s">
        <v>1110</v>
      </c>
      <c r="C467" s="24" t="s">
        <v>198</v>
      </c>
      <c r="D467" s="26">
        <v>0.66900000000000004</v>
      </c>
      <c r="E467" s="28"/>
    </row>
    <row r="468" spans="1:5" x14ac:dyDescent="0.3">
      <c r="A468" s="24" t="s">
        <v>1111</v>
      </c>
      <c r="B468" s="25" t="s">
        <v>1112</v>
      </c>
      <c r="C468" s="24" t="s">
        <v>683</v>
      </c>
      <c r="D468" s="26">
        <v>43.984999999999999</v>
      </c>
      <c r="E468" s="28"/>
    </row>
    <row r="469" spans="1:5" x14ac:dyDescent="0.3">
      <c r="A469" s="24" t="s">
        <v>1113</v>
      </c>
      <c r="B469" s="25" t="s">
        <v>1114</v>
      </c>
      <c r="C469" s="24" t="s">
        <v>1115</v>
      </c>
      <c r="D469" s="26">
        <v>612.95699999999999</v>
      </c>
      <c r="E469" s="28"/>
    </row>
    <row r="470" spans="1:5" x14ac:dyDescent="0.3">
      <c r="A470" s="24" t="s">
        <v>1116</v>
      </c>
      <c r="B470" s="25" t="s">
        <v>1117</v>
      </c>
      <c r="C470" s="24" t="s">
        <v>200</v>
      </c>
      <c r="D470" s="26">
        <v>4.9290000000000003</v>
      </c>
      <c r="E470" s="28"/>
    </row>
    <row r="471" spans="1:5" x14ac:dyDescent="0.3">
      <c r="A471" s="31" t="s">
        <v>1135</v>
      </c>
      <c r="B471" s="25" t="s">
        <v>1136</v>
      </c>
      <c r="C471" s="31" t="s">
        <v>396</v>
      </c>
      <c r="D471" s="26">
        <v>250.19900000000001</v>
      </c>
      <c r="E471" s="28"/>
    </row>
    <row r="472" spans="1:5" x14ac:dyDescent="0.3">
      <c r="A472" s="24" t="s">
        <v>1137</v>
      </c>
      <c r="B472" s="25" t="s">
        <v>1138</v>
      </c>
      <c r="C472" s="24" t="s">
        <v>198</v>
      </c>
      <c r="D472" s="26">
        <v>2.218</v>
      </c>
      <c r="E472" s="28"/>
    </row>
    <row r="473" spans="1:5" x14ac:dyDescent="0.3">
      <c r="A473" s="24" t="s">
        <v>1146</v>
      </c>
      <c r="B473" s="25" t="s">
        <v>1147</v>
      </c>
      <c r="C473" s="24" t="s">
        <v>198</v>
      </c>
      <c r="D473" s="26">
        <v>51.228999999999999</v>
      </c>
      <c r="E473" s="28"/>
    </row>
    <row r="474" spans="1:5" x14ac:dyDescent="0.3">
      <c r="A474" s="24" t="s">
        <v>1148</v>
      </c>
      <c r="B474" s="25" t="s">
        <v>1149</v>
      </c>
      <c r="C474" s="24" t="s">
        <v>1150</v>
      </c>
      <c r="D474" s="26">
        <v>414.82499999999999</v>
      </c>
      <c r="E474" s="28"/>
    </row>
    <row r="475" spans="1:5" x14ac:dyDescent="0.3">
      <c r="A475" s="24" t="s">
        <v>1151</v>
      </c>
      <c r="B475" s="25" t="s">
        <v>1152</v>
      </c>
      <c r="C475" s="24" t="s">
        <v>199</v>
      </c>
      <c r="D475" s="26">
        <v>77.177999999999997</v>
      </c>
      <c r="E475" s="28"/>
    </row>
    <row r="476" spans="1:5" x14ac:dyDescent="0.3">
      <c r="A476" s="24" t="s">
        <v>1153</v>
      </c>
      <c r="B476" s="25" t="s">
        <v>1154</v>
      </c>
      <c r="C476" s="24" t="s">
        <v>199</v>
      </c>
      <c r="D476" s="26">
        <v>82.742999999999995</v>
      </c>
      <c r="E476" s="28"/>
    </row>
    <row r="477" spans="1:5" x14ac:dyDescent="0.3">
      <c r="A477" s="24" t="s">
        <v>1155</v>
      </c>
      <c r="B477" s="25" t="s">
        <v>1156</v>
      </c>
      <c r="C477" s="24" t="s">
        <v>198</v>
      </c>
      <c r="D477" s="26">
        <v>1.274</v>
      </c>
      <c r="E477" s="28"/>
    </row>
    <row r="478" spans="1:5" x14ac:dyDescent="0.3">
      <c r="A478" s="24" t="s">
        <v>1157</v>
      </c>
      <c r="B478" s="25" t="s">
        <v>1158</v>
      </c>
      <c r="C478" s="24" t="s">
        <v>198</v>
      </c>
      <c r="D478" s="26">
        <v>57.576000000000001</v>
      </c>
      <c r="E478" s="28"/>
    </row>
    <row r="479" spans="1:5" x14ac:dyDescent="0.3">
      <c r="A479" s="24" t="s">
        <v>1159</v>
      </c>
      <c r="B479" s="25" t="s">
        <v>1160</v>
      </c>
      <c r="C479" s="24" t="s">
        <v>198</v>
      </c>
      <c r="D479" s="26">
        <v>2.8210000000000002</v>
      </c>
      <c r="E479" s="28"/>
    </row>
    <row r="480" spans="1:5" x14ac:dyDescent="0.3">
      <c r="A480" s="31" t="s">
        <v>1161</v>
      </c>
      <c r="B480" s="25" t="s">
        <v>1162</v>
      </c>
      <c r="C480" s="31" t="s">
        <v>199</v>
      </c>
      <c r="D480" s="26">
        <v>39.393000000000001</v>
      </c>
      <c r="E480" s="28"/>
    </row>
    <row r="481" spans="1:5" x14ac:dyDescent="0.3">
      <c r="A481" s="24" t="s">
        <v>1163</v>
      </c>
      <c r="B481" s="25" t="s">
        <v>1164</v>
      </c>
      <c r="C481" s="24" t="s">
        <v>198</v>
      </c>
      <c r="D481" s="26">
        <v>28.876999999999999</v>
      </c>
      <c r="E481" s="28"/>
    </row>
    <row r="482" spans="1:5" x14ac:dyDescent="0.3">
      <c r="A482" s="24" t="s">
        <v>1165</v>
      </c>
      <c r="B482" s="25" t="s">
        <v>1166</v>
      </c>
      <c r="C482" s="24" t="s">
        <v>198</v>
      </c>
      <c r="D482" s="26">
        <v>23.800999999999998</v>
      </c>
      <c r="E482" s="28"/>
    </row>
    <row r="483" spans="1:5" x14ac:dyDescent="0.3">
      <c r="A483" s="24" t="s">
        <v>1167</v>
      </c>
      <c r="B483" s="25" t="s">
        <v>1168</v>
      </c>
      <c r="C483" s="24" t="s">
        <v>199</v>
      </c>
      <c r="D483" s="26">
        <v>81.281999999999996</v>
      </c>
      <c r="E483" s="28"/>
    </row>
    <row r="484" spans="1:5" x14ac:dyDescent="0.3">
      <c r="A484" s="24" t="s">
        <v>1169</v>
      </c>
      <c r="B484" s="25" t="s">
        <v>1170</v>
      </c>
      <c r="C484" s="24" t="s">
        <v>198</v>
      </c>
      <c r="D484" s="26">
        <v>23.492000000000001</v>
      </c>
      <c r="E484" s="28"/>
    </row>
    <row r="485" spans="1:5" x14ac:dyDescent="0.3">
      <c r="A485" s="24" t="s">
        <v>1171</v>
      </c>
      <c r="B485" s="25" t="s">
        <v>1172</v>
      </c>
      <c r="C485" s="24" t="s">
        <v>452</v>
      </c>
      <c r="D485" s="26">
        <v>112.95699999999999</v>
      </c>
      <c r="E485" s="28"/>
    </row>
    <row r="486" spans="1:5" x14ac:dyDescent="0.3">
      <c r="A486" s="24" t="s">
        <v>1173</v>
      </c>
      <c r="B486" s="25" t="s">
        <v>1174</v>
      </c>
      <c r="C486" s="24" t="s">
        <v>1175</v>
      </c>
      <c r="D486" s="26">
        <v>27.637</v>
      </c>
      <c r="E486" s="28"/>
    </row>
    <row r="487" spans="1:5" x14ac:dyDescent="0.3">
      <c r="A487" s="24" t="s">
        <v>1176</v>
      </c>
      <c r="B487" s="25" t="s">
        <v>1177</v>
      </c>
      <c r="C487" s="24" t="s">
        <v>273</v>
      </c>
      <c r="D487" s="26">
        <v>44.527999999999999</v>
      </c>
      <c r="E487" s="28"/>
    </row>
    <row r="488" spans="1:5" x14ac:dyDescent="0.3">
      <c r="A488" s="24" t="s">
        <v>1194</v>
      </c>
      <c r="B488" s="25" t="s">
        <v>1195</v>
      </c>
      <c r="C488" s="24" t="s">
        <v>198</v>
      </c>
      <c r="D488" s="26">
        <v>19.727</v>
      </c>
      <c r="E488" s="28"/>
    </row>
    <row r="489" spans="1:5" x14ac:dyDescent="0.3">
      <c r="A489" s="24" t="s">
        <v>1219</v>
      </c>
      <c r="B489" s="25" t="s">
        <v>1220</v>
      </c>
      <c r="C489" s="24" t="s">
        <v>273</v>
      </c>
      <c r="D489" s="26">
        <v>115.762</v>
      </c>
      <c r="E489" s="28"/>
    </row>
    <row r="490" spans="1:5" x14ac:dyDescent="0.3">
      <c r="A490" s="24" t="s">
        <v>1223</v>
      </c>
      <c r="B490" s="25" t="s">
        <v>1224</v>
      </c>
      <c r="C490" s="24" t="s">
        <v>209</v>
      </c>
      <c r="D490" s="26">
        <v>59.725000000000001</v>
      </c>
      <c r="E490" s="28"/>
    </row>
    <row r="491" spans="1:5" x14ac:dyDescent="0.3">
      <c r="A491" s="24" t="s">
        <v>1227</v>
      </c>
      <c r="B491" s="25" t="s">
        <v>1228</v>
      </c>
      <c r="C491" s="24" t="s">
        <v>284</v>
      </c>
      <c r="D491" s="26">
        <v>74.832999999999998</v>
      </c>
      <c r="E491" s="28"/>
    </row>
    <row r="492" spans="1:5" x14ac:dyDescent="0.3">
      <c r="A492" s="24" t="s">
        <v>1229</v>
      </c>
      <c r="B492" s="25" t="s">
        <v>1230</v>
      </c>
      <c r="C492" s="24" t="s">
        <v>442</v>
      </c>
      <c r="D492" s="26">
        <v>4.4619999999999997</v>
      </c>
      <c r="E492" s="28"/>
    </row>
    <row r="493" spans="1:5" x14ac:dyDescent="0.3">
      <c r="A493" s="24" t="s">
        <v>1231</v>
      </c>
      <c r="B493" s="25" t="s">
        <v>1232</v>
      </c>
      <c r="C493" s="24" t="s">
        <v>1233</v>
      </c>
      <c r="D493" s="26">
        <v>500.24599999999998</v>
      </c>
      <c r="E493" s="28"/>
    </row>
    <row r="494" spans="1:5" ht="27" x14ac:dyDescent="0.3">
      <c r="A494" s="24" t="s">
        <v>1234</v>
      </c>
      <c r="B494" s="25" t="s">
        <v>1235</v>
      </c>
      <c r="C494" s="24" t="s">
        <v>198</v>
      </c>
      <c r="D494" s="26">
        <v>49.786000000000001</v>
      </c>
      <c r="E494" s="28"/>
    </row>
    <row r="495" spans="1:5" x14ac:dyDescent="0.3">
      <c r="A495" s="24" t="s">
        <v>1238</v>
      </c>
      <c r="B495" s="25" t="s">
        <v>1239</v>
      </c>
      <c r="C495" s="24" t="s">
        <v>198</v>
      </c>
      <c r="D495" s="26">
        <v>89.453999999999994</v>
      </c>
      <c r="E495" s="28"/>
    </row>
    <row r="496" spans="1:5" x14ac:dyDescent="0.3">
      <c r="A496" s="24" t="s">
        <v>1246</v>
      </c>
      <c r="B496" s="25" t="s">
        <v>1247</v>
      </c>
      <c r="C496" s="24" t="s">
        <v>1248</v>
      </c>
      <c r="D496" s="26">
        <v>33.99</v>
      </c>
      <c r="E496" s="28"/>
    </row>
    <row r="497" spans="1:5" ht="27" x14ac:dyDescent="0.3">
      <c r="A497" s="24" t="s">
        <v>1249</v>
      </c>
      <c r="B497" s="25" t="s">
        <v>1250</v>
      </c>
      <c r="C497" s="24" t="s">
        <v>1251</v>
      </c>
      <c r="D497" s="26">
        <v>229.518</v>
      </c>
      <c r="E497" s="28"/>
    </row>
    <row r="498" spans="1:5" x14ac:dyDescent="0.3">
      <c r="A498" s="24" t="s">
        <v>1252</v>
      </c>
      <c r="B498" s="25" t="s">
        <v>1253</v>
      </c>
      <c r="C498" s="24" t="s">
        <v>198</v>
      </c>
      <c r="D498" s="26">
        <v>53.969142857142856</v>
      </c>
      <c r="E498" s="28"/>
    </row>
    <row r="499" spans="1:5" x14ac:dyDescent="0.3">
      <c r="A499" s="24" t="s">
        <v>1254</v>
      </c>
      <c r="B499" s="25" t="s">
        <v>1255</v>
      </c>
      <c r="C499" s="24" t="s">
        <v>209</v>
      </c>
      <c r="D499" s="26">
        <v>3897.3960000000002</v>
      </c>
      <c r="E499" s="28"/>
    </row>
    <row r="500" spans="1:5" x14ac:dyDescent="0.3">
      <c r="A500" s="24" t="s">
        <v>1256</v>
      </c>
      <c r="B500" s="25" t="s">
        <v>1257</v>
      </c>
      <c r="C500" s="24" t="s">
        <v>209</v>
      </c>
      <c r="D500" s="26">
        <v>34994.491000000002</v>
      </c>
      <c r="E500" s="28"/>
    </row>
    <row r="501" spans="1:5" x14ac:dyDescent="0.3">
      <c r="A501" s="24" t="s">
        <v>1258</v>
      </c>
      <c r="B501" s="25" t="s">
        <v>1259</v>
      </c>
      <c r="C501" s="24" t="s">
        <v>198</v>
      </c>
      <c r="D501" s="26">
        <v>153.059</v>
      </c>
      <c r="E501" s="28"/>
    </row>
    <row r="502" spans="1:5" ht="27" x14ac:dyDescent="0.3">
      <c r="A502" s="24" t="s">
        <v>1260</v>
      </c>
      <c r="B502" s="25" t="s">
        <v>1261</v>
      </c>
      <c r="C502" s="36" t="s">
        <v>209</v>
      </c>
      <c r="D502" s="26">
        <v>636.13400000000001</v>
      </c>
      <c r="E502" s="28"/>
    </row>
    <row r="503" spans="1:5" x14ac:dyDescent="0.3">
      <c r="A503" s="24" t="s">
        <v>193</v>
      </c>
      <c r="B503" s="25" t="s">
        <v>1262</v>
      </c>
      <c r="C503" s="24" t="s">
        <v>200</v>
      </c>
      <c r="D503" s="26">
        <v>0.24</v>
      </c>
      <c r="E503" s="28"/>
    </row>
    <row r="504" spans="1:5" x14ac:dyDescent="0.3">
      <c r="A504" s="24" t="s">
        <v>1263</v>
      </c>
      <c r="B504" s="25" t="s">
        <v>1262</v>
      </c>
      <c r="C504" s="24" t="s">
        <v>209</v>
      </c>
      <c r="D504" s="26">
        <v>2.4</v>
      </c>
      <c r="E504" s="28"/>
    </row>
    <row r="505" spans="1:5" x14ac:dyDescent="0.3">
      <c r="A505" s="24" t="s">
        <v>1264</v>
      </c>
      <c r="B505" s="25" t="s">
        <v>1265</v>
      </c>
      <c r="C505" s="24" t="s">
        <v>209</v>
      </c>
      <c r="D505" s="26">
        <v>152.32300000000001</v>
      </c>
      <c r="E505" s="28"/>
    </row>
    <row r="506" spans="1:5" ht="27" x14ac:dyDescent="0.3">
      <c r="A506" s="24" t="s">
        <v>1266</v>
      </c>
      <c r="B506" s="25" t="s">
        <v>1267</v>
      </c>
      <c r="C506" s="24" t="s">
        <v>318</v>
      </c>
      <c r="D506" s="26">
        <v>3.1080000000000001</v>
      </c>
      <c r="E506" s="28"/>
    </row>
    <row r="507" spans="1:5" x14ac:dyDescent="0.3">
      <c r="A507" s="24" t="s">
        <v>1277</v>
      </c>
      <c r="B507" s="25" t="s">
        <v>1278</v>
      </c>
      <c r="C507" s="24" t="s">
        <v>199</v>
      </c>
      <c r="D507" s="26">
        <v>2020.3019999999999</v>
      </c>
      <c r="E507" s="28"/>
    </row>
    <row r="508" spans="1:5" x14ac:dyDescent="0.3">
      <c r="A508" s="31" t="s">
        <v>1279</v>
      </c>
      <c r="B508" s="25" t="s">
        <v>1280</v>
      </c>
      <c r="C508" s="31" t="s">
        <v>198</v>
      </c>
      <c r="D508" s="26">
        <v>49.584000000000003</v>
      </c>
      <c r="E508" s="28"/>
    </row>
    <row r="509" spans="1:5" x14ac:dyDescent="0.3">
      <c r="A509" s="24" t="s">
        <v>1281</v>
      </c>
      <c r="B509" s="25" t="s">
        <v>1282</v>
      </c>
      <c r="C509" s="24" t="s">
        <v>200</v>
      </c>
      <c r="D509" s="26">
        <v>100.376</v>
      </c>
      <c r="E509" s="28"/>
    </row>
    <row r="510" spans="1:5" x14ac:dyDescent="0.3">
      <c r="A510" s="24" t="s">
        <v>1283</v>
      </c>
      <c r="B510" s="25" t="s">
        <v>1284</v>
      </c>
      <c r="C510" s="24" t="s">
        <v>199</v>
      </c>
      <c r="D510" s="26">
        <v>52.058999999999997</v>
      </c>
      <c r="E510" s="28"/>
    </row>
    <row r="511" spans="1:5" ht="27" x14ac:dyDescent="0.3">
      <c r="A511" s="24" t="s">
        <v>1285</v>
      </c>
      <c r="B511" s="25" t="s">
        <v>1286</v>
      </c>
      <c r="C511" s="24" t="s">
        <v>200</v>
      </c>
      <c r="D511" s="26">
        <v>27.268000000000001</v>
      </c>
      <c r="E511" s="28"/>
    </row>
    <row r="512" spans="1:5" ht="27" x14ac:dyDescent="0.3">
      <c r="A512" s="24" t="s">
        <v>1287</v>
      </c>
      <c r="B512" s="25" t="s">
        <v>1288</v>
      </c>
      <c r="C512" s="31" t="s">
        <v>198</v>
      </c>
      <c r="D512" s="26">
        <v>5.7430000000000003</v>
      </c>
      <c r="E512" s="28"/>
    </row>
    <row r="513" spans="1:5" ht="27" x14ac:dyDescent="0.3">
      <c r="A513" s="31" t="s">
        <v>1299</v>
      </c>
      <c r="B513" s="25" t="s">
        <v>1300</v>
      </c>
      <c r="C513" s="31" t="s">
        <v>198</v>
      </c>
      <c r="D513" s="26">
        <v>12.25</v>
      </c>
      <c r="E513" s="28"/>
    </row>
    <row r="514" spans="1:5" x14ac:dyDescent="0.3">
      <c r="A514" s="24" t="s">
        <v>1301</v>
      </c>
      <c r="B514" s="25" t="s">
        <v>1302</v>
      </c>
      <c r="C514" s="24" t="s">
        <v>198</v>
      </c>
      <c r="D514" s="26">
        <v>286.529</v>
      </c>
      <c r="E514" s="28"/>
    </row>
    <row r="515" spans="1:5" x14ac:dyDescent="0.3">
      <c r="A515" s="31" t="s">
        <v>1303</v>
      </c>
      <c r="B515" s="25" t="s">
        <v>1304</v>
      </c>
      <c r="C515" s="31" t="s">
        <v>200</v>
      </c>
      <c r="D515" s="26">
        <v>58.393999999999998</v>
      </c>
      <c r="E515" s="28"/>
    </row>
    <row r="516" spans="1:5" x14ac:dyDescent="0.3">
      <c r="A516" s="31" t="s">
        <v>1305</v>
      </c>
      <c r="B516" s="25" t="s">
        <v>1306</v>
      </c>
      <c r="C516" s="31" t="s">
        <v>1307</v>
      </c>
      <c r="D516" s="26">
        <v>44.319000000000003</v>
      </c>
      <c r="E516" s="28"/>
    </row>
    <row r="517" spans="1:5" x14ac:dyDescent="0.3">
      <c r="A517" s="24" t="s">
        <v>1308</v>
      </c>
      <c r="B517" s="25" t="s">
        <v>1309</v>
      </c>
      <c r="C517" s="24" t="s">
        <v>199</v>
      </c>
      <c r="D517" s="26">
        <v>94.972999999999999</v>
      </c>
      <c r="E517" s="28"/>
    </row>
    <row r="518" spans="1:5" x14ac:dyDescent="0.3">
      <c r="A518" s="24" t="s">
        <v>1310</v>
      </c>
      <c r="B518" s="25" t="s">
        <v>1311</v>
      </c>
      <c r="C518" s="24" t="s">
        <v>198</v>
      </c>
      <c r="D518" s="26">
        <v>310.55</v>
      </c>
      <c r="E518" s="28"/>
    </row>
    <row r="519" spans="1:5" x14ac:dyDescent="0.3">
      <c r="A519" s="24" t="s">
        <v>1312</v>
      </c>
      <c r="B519" s="25" t="s">
        <v>1313</v>
      </c>
      <c r="C519" s="24" t="s">
        <v>405</v>
      </c>
      <c r="D519" s="26">
        <v>344.84300000000002</v>
      </c>
      <c r="E519" s="28"/>
    </row>
    <row r="520" spans="1:5" ht="27" x14ac:dyDescent="0.3">
      <c r="A520" s="24" t="s">
        <v>1314</v>
      </c>
      <c r="B520" s="25" t="s">
        <v>1315</v>
      </c>
      <c r="C520" s="24" t="s">
        <v>1316</v>
      </c>
      <c r="D520" s="26">
        <v>51.097999999999999</v>
      </c>
      <c r="E520" s="28"/>
    </row>
    <row r="521" spans="1:5" x14ac:dyDescent="0.3">
      <c r="A521" s="24" t="s">
        <v>1317</v>
      </c>
      <c r="B521" s="25" t="s">
        <v>1318</v>
      </c>
      <c r="C521" s="24" t="s">
        <v>198</v>
      </c>
      <c r="D521" s="26">
        <v>10.395</v>
      </c>
      <c r="E521" s="28"/>
    </row>
    <row r="522" spans="1:5" x14ac:dyDescent="0.3">
      <c r="A522" s="24" t="s">
        <v>1319</v>
      </c>
      <c r="B522" s="25" t="s">
        <v>1320</v>
      </c>
      <c r="C522" s="24" t="s">
        <v>198</v>
      </c>
      <c r="D522" s="26">
        <v>57.927999999999997</v>
      </c>
      <c r="E522" s="28"/>
    </row>
    <row r="523" spans="1:5" x14ac:dyDescent="0.3">
      <c r="A523" s="24" t="s">
        <v>1321</v>
      </c>
      <c r="B523" s="25" t="s">
        <v>1322</v>
      </c>
      <c r="C523" s="24" t="s">
        <v>659</v>
      </c>
      <c r="D523" s="26">
        <v>420.42599999999999</v>
      </c>
      <c r="E523" s="28"/>
    </row>
    <row r="524" spans="1:5" x14ac:dyDescent="0.3">
      <c r="A524" s="24" t="s">
        <v>1323</v>
      </c>
      <c r="B524" s="25" t="s">
        <v>1324</v>
      </c>
      <c r="C524" s="24" t="s">
        <v>273</v>
      </c>
      <c r="D524" s="26">
        <v>1.014</v>
      </c>
      <c r="E524" s="28"/>
    </row>
    <row r="525" spans="1:5" x14ac:dyDescent="0.3">
      <c r="A525" s="24" t="s">
        <v>1325</v>
      </c>
      <c r="B525" s="25" t="s">
        <v>1326</v>
      </c>
      <c r="C525" s="24" t="s">
        <v>273</v>
      </c>
      <c r="D525" s="26">
        <v>310.83699999999999</v>
      </c>
      <c r="E525" s="28"/>
    </row>
    <row r="526" spans="1:5" ht="27" x14ac:dyDescent="0.3">
      <c r="A526" s="31" t="s">
        <v>1327</v>
      </c>
      <c r="B526" s="25" t="s">
        <v>1328</v>
      </c>
      <c r="C526" s="31" t="s">
        <v>198</v>
      </c>
      <c r="D526" s="26">
        <v>31.286000000000001</v>
      </c>
      <c r="E526" s="28"/>
    </row>
    <row r="527" spans="1:5" x14ac:dyDescent="0.3">
      <c r="A527" s="24" t="s">
        <v>1329</v>
      </c>
      <c r="B527" s="25" t="s">
        <v>1330</v>
      </c>
      <c r="C527" s="24" t="s">
        <v>199</v>
      </c>
      <c r="D527" s="26">
        <v>106.97499999999999</v>
      </c>
      <c r="E527" s="28"/>
    </row>
    <row r="528" spans="1:5" ht="27" x14ac:dyDescent="0.3">
      <c r="A528" s="24" t="s">
        <v>1331</v>
      </c>
      <c r="B528" s="25" t="s">
        <v>1332</v>
      </c>
      <c r="C528" s="24" t="s">
        <v>199</v>
      </c>
      <c r="D528" s="26">
        <v>80.258286666666663</v>
      </c>
      <c r="E528" s="28"/>
    </row>
    <row r="529" spans="1:5" x14ac:dyDescent="0.3">
      <c r="A529" s="24" t="s">
        <v>1333</v>
      </c>
      <c r="B529" s="25" t="s">
        <v>1334</v>
      </c>
      <c r="C529" s="24" t="s">
        <v>442</v>
      </c>
      <c r="D529" s="26">
        <v>1384.1410000000001</v>
      </c>
      <c r="E529" s="28"/>
    </row>
    <row r="530" spans="1:5" x14ac:dyDescent="0.3">
      <c r="A530" s="24" t="s">
        <v>1335</v>
      </c>
      <c r="B530" s="25" t="s">
        <v>1336</v>
      </c>
      <c r="C530" s="24" t="s">
        <v>198</v>
      </c>
      <c r="D530" s="26">
        <v>3.0950000000000002</v>
      </c>
      <c r="E530" s="28"/>
    </row>
    <row r="531" spans="1:5" x14ac:dyDescent="0.3">
      <c r="A531" s="24" t="s">
        <v>1337</v>
      </c>
      <c r="B531" s="25" t="s">
        <v>1338</v>
      </c>
      <c r="C531" s="24" t="s">
        <v>198</v>
      </c>
      <c r="D531" s="26">
        <v>4.7919999999999998</v>
      </c>
      <c r="E531" s="28"/>
    </row>
    <row r="532" spans="1:5" x14ac:dyDescent="0.3">
      <c r="A532" s="24" t="s">
        <v>1339</v>
      </c>
      <c r="B532" s="25" t="s">
        <v>1340</v>
      </c>
      <c r="C532" s="24" t="s">
        <v>198</v>
      </c>
      <c r="D532" s="26">
        <v>3030.373</v>
      </c>
      <c r="E532" s="28"/>
    </row>
    <row r="533" spans="1:5" x14ac:dyDescent="0.3">
      <c r="A533" s="24" t="s">
        <v>1341</v>
      </c>
      <c r="B533" s="25" t="s">
        <v>1342</v>
      </c>
      <c r="C533" s="24" t="s">
        <v>199</v>
      </c>
      <c r="D533" s="26">
        <v>8.8450000000000006</v>
      </c>
      <c r="E533" s="28"/>
    </row>
    <row r="534" spans="1:5" x14ac:dyDescent="0.3">
      <c r="A534" s="24" t="s">
        <v>1347</v>
      </c>
      <c r="B534" s="25" t="s">
        <v>1348</v>
      </c>
      <c r="C534" s="24" t="s">
        <v>522</v>
      </c>
      <c r="D534" s="26">
        <v>10.49</v>
      </c>
      <c r="E534" s="28"/>
    </row>
    <row r="535" spans="1:5" ht="27" x14ac:dyDescent="0.3">
      <c r="A535" s="24" t="s">
        <v>1349</v>
      </c>
      <c r="B535" s="25" t="s">
        <v>1350</v>
      </c>
      <c r="C535" s="24" t="s">
        <v>951</v>
      </c>
      <c r="D535" s="26">
        <v>52.45</v>
      </c>
      <c r="E535" s="28"/>
    </row>
    <row r="536" spans="1:5" ht="27" x14ac:dyDescent="0.3">
      <c r="A536" s="24" t="s">
        <v>1351</v>
      </c>
      <c r="B536" s="25" t="s">
        <v>1352</v>
      </c>
      <c r="C536" s="24" t="s">
        <v>1353</v>
      </c>
      <c r="D536" s="26">
        <v>20.98</v>
      </c>
      <c r="E536" s="28"/>
    </row>
    <row r="537" spans="1:5" ht="27" x14ac:dyDescent="0.3">
      <c r="A537" s="24" t="s">
        <v>1354</v>
      </c>
      <c r="B537" s="25" t="s">
        <v>1355</v>
      </c>
      <c r="C537" s="24" t="s">
        <v>522</v>
      </c>
      <c r="D537" s="26">
        <v>52.45</v>
      </c>
      <c r="E537" s="28"/>
    </row>
    <row r="538" spans="1:5" x14ac:dyDescent="0.3">
      <c r="A538" s="29" t="s">
        <v>1356</v>
      </c>
      <c r="B538" s="25" t="s">
        <v>1357</v>
      </c>
      <c r="C538" s="24" t="s">
        <v>198</v>
      </c>
      <c r="D538" s="26">
        <v>0.997</v>
      </c>
      <c r="E538" s="28"/>
    </row>
    <row r="539" spans="1:5" x14ac:dyDescent="0.3">
      <c r="A539" s="29" t="s">
        <v>1358</v>
      </c>
      <c r="B539" s="25" t="s">
        <v>1359</v>
      </c>
      <c r="C539" s="24" t="s">
        <v>198</v>
      </c>
      <c r="D539" s="26">
        <v>0.997</v>
      </c>
      <c r="E539" s="28"/>
    </row>
    <row r="540" spans="1:5" x14ac:dyDescent="0.3">
      <c r="A540" s="24" t="s">
        <v>1360</v>
      </c>
      <c r="B540" s="25" t="s">
        <v>1361</v>
      </c>
      <c r="C540" s="24" t="s">
        <v>198</v>
      </c>
      <c r="D540" s="26">
        <v>2.7E-2</v>
      </c>
      <c r="E540" s="28"/>
    </row>
    <row r="541" spans="1:5" x14ac:dyDescent="0.3">
      <c r="A541" s="24" t="s">
        <v>1362</v>
      </c>
      <c r="B541" s="25" t="s">
        <v>1363</v>
      </c>
      <c r="C541" s="24" t="s">
        <v>209</v>
      </c>
      <c r="D541" s="26">
        <v>0.28000000000000003</v>
      </c>
      <c r="E541" s="28"/>
    </row>
    <row r="542" spans="1:5" ht="27" x14ac:dyDescent="0.3">
      <c r="A542" s="24" t="s">
        <v>1364</v>
      </c>
      <c r="B542" s="25" t="s">
        <v>1365</v>
      </c>
      <c r="C542" s="24" t="s">
        <v>200</v>
      </c>
      <c r="D542" s="26">
        <v>0.32</v>
      </c>
      <c r="E542" s="28"/>
    </row>
    <row r="543" spans="1:5" x14ac:dyDescent="0.3">
      <c r="A543" s="24" t="s">
        <v>1366</v>
      </c>
      <c r="B543" s="25" t="s">
        <v>1367</v>
      </c>
      <c r="C543" s="24" t="s">
        <v>198</v>
      </c>
      <c r="D543" s="26">
        <v>3.0059999999999998</v>
      </c>
      <c r="E543" s="28"/>
    </row>
    <row r="544" spans="1:5" x14ac:dyDescent="0.3">
      <c r="A544" s="24" t="s">
        <v>1368</v>
      </c>
      <c r="B544" s="25" t="s">
        <v>1369</v>
      </c>
      <c r="C544" s="24" t="s">
        <v>1134</v>
      </c>
      <c r="D544" s="26">
        <v>0.754</v>
      </c>
      <c r="E544" s="28"/>
    </row>
    <row r="545" spans="1:5" ht="27" x14ac:dyDescent="0.3">
      <c r="A545" s="24" t="s">
        <v>1370</v>
      </c>
      <c r="B545" s="25" t="s">
        <v>1371</v>
      </c>
      <c r="C545" s="24" t="s">
        <v>848</v>
      </c>
      <c r="D545" s="26">
        <v>0.04</v>
      </c>
      <c r="E545" s="28"/>
    </row>
    <row r="546" spans="1:5" x14ac:dyDescent="0.3">
      <c r="A546" s="24" t="s">
        <v>1372</v>
      </c>
      <c r="B546" s="25" t="s">
        <v>1373</v>
      </c>
      <c r="C546" s="33" t="s">
        <v>214</v>
      </c>
      <c r="D546" s="26">
        <v>18.236000000000001</v>
      </c>
      <c r="E546" s="28"/>
    </row>
    <row r="547" spans="1:5" x14ac:dyDescent="0.3">
      <c r="A547" s="24" t="s">
        <v>1374</v>
      </c>
      <c r="B547" s="25" t="s">
        <v>1375</v>
      </c>
      <c r="C547" s="24" t="s">
        <v>1376</v>
      </c>
      <c r="D547" s="26">
        <v>44024.597000000002</v>
      </c>
      <c r="E547" s="28"/>
    </row>
    <row r="548" spans="1:5" x14ac:dyDescent="0.3">
      <c r="A548" s="24" t="s">
        <v>191</v>
      </c>
      <c r="B548" s="25" t="s">
        <v>1377</v>
      </c>
      <c r="C548" s="24" t="s">
        <v>199</v>
      </c>
      <c r="D548" s="26">
        <v>349.298</v>
      </c>
      <c r="E548" s="28"/>
    </row>
    <row r="549" spans="1:5" x14ac:dyDescent="0.3">
      <c r="A549" s="24" t="s">
        <v>1378</v>
      </c>
      <c r="B549" s="25" t="s">
        <v>1379</v>
      </c>
      <c r="C549" s="24" t="s">
        <v>452</v>
      </c>
      <c r="D549" s="26">
        <v>53.893000000000001</v>
      </c>
      <c r="E549" s="28"/>
    </row>
    <row r="550" spans="1:5" ht="27" x14ac:dyDescent="0.3">
      <c r="A550" s="24" t="s">
        <v>1380</v>
      </c>
      <c r="B550" s="25" t="s">
        <v>1381</v>
      </c>
      <c r="C550" s="29" t="s">
        <v>1382</v>
      </c>
      <c r="D550" s="26">
        <v>141.83199999999999</v>
      </c>
      <c r="E550" s="28"/>
    </row>
    <row r="551" spans="1:5" x14ac:dyDescent="0.3">
      <c r="A551" s="24" t="s">
        <v>1383</v>
      </c>
      <c r="B551" s="25" t="s">
        <v>1384</v>
      </c>
      <c r="C551" s="24" t="s">
        <v>360</v>
      </c>
      <c r="D551" s="26">
        <v>1.1459999999999999</v>
      </c>
      <c r="E551" s="28"/>
    </row>
    <row r="552" spans="1:5" x14ac:dyDescent="0.3">
      <c r="A552" s="24" t="s">
        <v>1385</v>
      </c>
      <c r="B552" s="25" t="s">
        <v>1386</v>
      </c>
      <c r="C552" s="24" t="s">
        <v>1042</v>
      </c>
      <c r="D552" s="26">
        <v>30.803999999999998</v>
      </c>
      <c r="E552" s="28"/>
    </row>
    <row r="553" spans="1:5" x14ac:dyDescent="0.3">
      <c r="A553" s="24" t="s">
        <v>1387</v>
      </c>
      <c r="B553" s="25" t="s">
        <v>1388</v>
      </c>
      <c r="C553" s="24" t="s">
        <v>1042</v>
      </c>
      <c r="D553" s="26">
        <v>11.925000000000001</v>
      </c>
      <c r="E553" s="28"/>
    </row>
    <row r="554" spans="1:5" x14ac:dyDescent="0.3">
      <c r="A554" s="24" t="s">
        <v>1389</v>
      </c>
      <c r="B554" s="25" t="s">
        <v>1390</v>
      </c>
      <c r="C554" s="24" t="s">
        <v>1042</v>
      </c>
      <c r="D554" s="26">
        <v>32.749000000000002</v>
      </c>
      <c r="E554" s="28"/>
    </row>
    <row r="555" spans="1:5" x14ac:dyDescent="0.3">
      <c r="A555" s="24" t="s">
        <v>1391</v>
      </c>
      <c r="B555" s="25" t="s">
        <v>1392</v>
      </c>
      <c r="C555" s="24" t="s">
        <v>1042</v>
      </c>
      <c r="D555" s="26">
        <v>95.721000000000004</v>
      </c>
      <c r="E555" s="28"/>
    </row>
    <row r="556" spans="1:5" x14ac:dyDescent="0.3">
      <c r="A556" s="24" t="s">
        <v>1393</v>
      </c>
      <c r="B556" s="25" t="s">
        <v>1394</v>
      </c>
      <c r="C556" s="24" t="s">
        <v>1042</v>
      </c>
      <c r="D556" s="26">
        <v>48.844000000000001</v>
      </c>
      <c r="E556" s="28"/>
    </row>
    <row r="557" spans="1:5" x14ac:dyDescent="0.3">
      <c r="A557" s="24" t="s">
        <v>1395</v>
      </c>
      <c r="B557" s="25" t="s">
        <v>1396</v>
      </c>
      <c r="C557" s="24" t="s">
        <v>1042</v>
      </c>
      <c r="D557" s="26">
        <v>7.3769999999999998</v>
      </c>
      <c r="E557" s="28"/>
    </row>
    <row r="558" spans="1:5" x14ac:dyDescent="0.3">
      <c r="A558" s="24" t="s">
        <v>1397</v>
      </c>
      <c r="B558" s="25" t="s">
        <v>1398</v>
      </c>
      <c r="C558" s="24" t="s">
        <v>574</v>
      </c>
      <c r="D558" s="26">
        <v>872.07799999999997</v>
      </c>
      <c r="E558" s="28"/>
    </row>
    <row r="559" spans="1:5" x14ac:dyDescent="0.3">
      <c r="A559" s="24" t="s">
        <v>1399</v>
      </c>
      <c r="B559" s="25" t="s">
        <v>1400</v>
      </c>
      <c r="C559" s="24" t="s">
        <v>574</v>
      </c>
      <c r="D559" s="26">
        <v>872.07799999999997</v>
      </c>
      <c r="E559" s="28"/>
    </row>
    <row r="560" spans="1:5" x14ac:dyDescent="0.3">
      <c r="A560" s="24" t="s">
        <v>1401</v>
      </c>
      <c r="B560" s="25" t="s">
        <v>1402</v>
      </c>
      <c r="C560" s="33" t="s">
        <v>1042</v>
      </c>
      <c r="D560" s="26">
        <v>9.1</v>
      </c>
      <c r="E560" s="28"/>
    </row>
    <row r="561" spans="1:5" x14ac:dyDescent="0.3">
      <c r="A561" s="24" t="s">
        <v>1403</v>
      </c>
      <c r="B561" s="25" t="s">
        <v>1404</v>
      </c>
      <c r="C561" s="33" t="s">
        <v>1042</v>
      </c>
      <c r="D561" s="26">
        <v>41.962000000000003</v>
      </c>
      <c r="E561" s="28"/>
    </row>
    <row r="562" spans="1:5" x14ac:dyDescent="0.3">
      <c r="A562" s="24" t="s">
        <v>1405</v>
      </c>
      <c r="B562" s="25" t="s">
        <v>1406</v>
      </c>
      <c r="C562" s="33" t="s">
        <v>1042</v>
      </c>
      <c r="D562" s="26">
        <v>131.42599999999999</v>
      </c>
      <c r="E562" s="28"/>
    </row>
    <row r="563" spans="1:5" x14ac:dyDescent="0.3">
      <c r="A563" s="24" t="s">
        <v>1407</v>
      </c>
      <c r="B563" s="25" t="s">
        <v>1408</v>
      </c>
      <c r="C563" s="33" t="s">
        <v>1042</v>
      </c>
      <c r="D563" s="26">
        <v>139.04</v>
      </c>
      <c r="E563" s="28"/>
    </row>
    <row r="564" spans="1:5" ht="27" x14ac:dyDescent="0.3">
      <c r="A564" s="24" t="s">
        <v>1409</v>
      </c>
      <c r="B564" s="25" t="s">
        <v>1410</v>
      </c>
      <c r="C564" s="33" t="s">
        <v>1042</v>
      </c>
      <c r="D564" s="26">
        <v>82.460999999999999</v>
      </c>
      <c r="E564" s="28"/>
    </row>
    <row r="565" spans="1:5" x14ac:dyDescent="0.3">
      <c r="A565" s="24" t="s">
        <v>1411</v>
      </c>
      <c r="B565" s="25" t="s">
        <v>1412</v>
      </c>
      <c r="C565" s="31" t="s">
        <v>198</v>
      </c>
      <c r="D565" s="26">
        <v>19.190000000000001</v>
      </c>
      <c r="E565" s="28"/>
    </row>
    <row r="566" spans="1:5" ht="27" x14ac:dyDescent="0.3">
      <c r="A566" s="24" t="s">
        <v>1413</v>
      </c>
      <c r="B566" s="25" t="s">
        <v>1414</v>
      </c>
      <c r="C566" s="33" t="s">
        <v>1042</v>
      </c>
      <c r="D566" s="26">
        <v>155.61000000000001</v>
      </c>
      <c r="E566" s="28"/>
    </row>
    <row r="567" spans="1:5" x14ac:dyDescent="0.3">
      <c r="A567" s="24" t="s">
        <v>1415</v>
      </c>
      <c r="B567" s="25" t="s">
        <v>1416</v>
      </c>
      <c r="C567" s="33" t="s">
        <v>1042</v>
      </c>
      <c r="D567" s="26">
        <v>110.21899999999999</v>
      </c>
      <c r="E567" s="28"/>
    </row>
    <row r="568" spans="1:5" x14ac:dyDescent="0.3">
      <c r="A568" s="24" t="s">
        <v>1417</v>
      </c>
      <c r="B568" s="25" t="s">
        <v>1418</v>
      </c>
      <c r="C568" s="33" t="s">
        <v>1042</v>
      </c>
      <c r="D568" s="26">
        <v>175.45400000000001</v>
      </c>
      <c r="E568" s="28"/>
    </row>
    <row r="569" spans="1:5" x14ac:dyDescent="0.3">
      <c r="A569" s="24" t="s">
        <v>1419</v>
      </c>
      <c r="B569" s="25" t="s">
        <v>1420</v>
      </c>
      <c r="C569" s="33" t="s">
        <v>1042</v>
      </c>
      <c r="D569" s="26">
        <v>110.32599999999999</v>
      </c>
      <c r="E569" s="28"/>
    </row>
    <row r="570" spans="1:5" x14ac:dyDescent="0.3">
      <c r="A570" s="24" t="s">
        <v>1421</v>
      </c>
      <c r="B570" s="25" t="s">
        <v>1422</v>
      </c>
      <c r="C570" s="33" t="s">
        <v>1042</v>
      </c>
      <c r="D570" s="26">
        <v>68.412999999999997</v>
      </c>
      <c r="E570" s="28"/>
    </row>
    <row r="571" spans="1:5" x14ac:dyDescent="0.3">
      <c r="A571" s="24" t="s">
        <v>1423</v>
      </c>
      <c r="B571" s="25" t="s">
        <v>1424</v>
      </c>
      <c r="C571" s="33" t="s">
        <v>1042</v>
      </c>
      <c r="D571" s="26">
        <v>160.018</v>
      </c>
      <c r="E571" s="28"/>
    </row>
    <row r="572" spans="1:5" x14ac:dyDescent="0.3">
      <c r="A572" s="24" t="s">
        <v>1425</v>
      </c>
      <c r="B572" s="25" t="s">
        <v>1426</v>
      </c>
      <c r="C572" s="24" t="s">
        <v>1042</v>
      </c>
      <c r="D572" s="26">
        <v>99.924999999999997</v>
      </c>
      <c r="E572" s="28"/>
    </row>
    <row r="573" spans="1:5" x14ac:dyDescent="0.3">
      <c r="A573" s="31" t="s">
        <v>1427</v>
      </c>
      <c r="B573" s="25" t="s">
        <v>1428</v>
      </c>
      <c r="C573" s="24" t="s">
        <v>1042</v>
      </c>
      <c r="D573" s="26">
        <v>104.48399999999999</v>
      </c>
      <c r="E573" s="28"/>
    </row>
    <row r="574" spans="1:5" x14ac:dyDescent="0.3">
      <c r="A574" s="24" t="s">
        <v>1429</v>
      </c>
      <c r="B574" s="25" t="s">
        <v>1430</v>
      </c>
      <c r="C574" s="29" t="s">
        <v>452</v>
      </c>
      <c r="D574" s="26">
        <v>0.60799999999999998</v>
      </c>
      <c r="E574" s="28"/>
    </row>
    <row r="575" spans="1:5" x14ac:dyDescent="0.3">
      <c r="A575" s="24" t="s">
        <v>1431</v>
      </c>
      <c r="B575" s="25" t="s">
        <v>1432</v>
      </c>
      <c r="C575" s="33" t="s">
        <v>199</v>
      </c>
      <c r="D575" s="26">
        <v>51.323999999999998</v>
      </c>
      <c r="E575" s="28"/>
    </row>
    <row r="576" spans="1:5" x14ac:dyDescent="0.3">
      <c r="A576" s="24" t="s">
        <v>1433</v>
      </c>
      <c r="B576" s="25" t="s">
        <v>1434</v>
      </c>
      <c r="C576" s="33" t="s">
        <v>199</v>
      </c>
      <c r="D576" s="26">
        <v>54.649000000000001</v>
      </c>
      <c r="E576" s="28"/>
    </row>
    <row r="577" spans="1:5" x14ac:dyDescent="0.3">
      <c r="A577" s="24" t="s">
        <v>1435</v>
      </c>
      <c r="B577" s="25" t="s">
        <v>1436</v>
      </c>
      <c r="C577" s="31" t="s">
        <v>360</v>
      </c>
      <c r="D577" s="26">
        <v>1.018</v>
      </c>
      <c r="E577" s="28"/>
    </row>
    <row r="578" spans="1:5" x14ac:dyDescent="0.3">
      <c r="A578" s="24" t="s">
        <v>1437</v>
      </c>
      <c r="B578" s="25" t="s">
        <v>1438</v>
      </c>
      <c r="C578" s="31" t="s">
        <v>432</v>
      </c>
      <c r="D578" s="26">
        <v>10.183999999999999</v>
      </c>
      <c r="E578" s="28"/>
    </row>
    <row r="579" spans="1:5" x14ac:dyDescent="0.3">
      <c r="A579" s="24" t="s">
        <v>1439</v>
      </c>
      <c r="B579" s="25" t="s">
        <v>1440</v>
      </c>
      <c r="C579" s="24" t="s">
        <v>396</v>
      </c>
      <c r="D579" s="26">
        <v>332.54700000000003</v>
      </c>
      <c r="E579" s="28"/>
    </row>
    <row r="580" spans="1:5" x14ac:dyDescent="0.3">
      <c r="A580" s="31" t="s">
        <v>1441</v>
      </c>
      <c r="B580" s="25" t="s">
        <v>1442</v>
      </c>
      <c r="C580" s="31" t="s">
        <v>452</v>
      </c>
      <c r="D580" s="26">
        <v>0.68700000000000006</v>
      </c>
      <c r="E580" s="28"/>
    </row>
    <row r="581" spans="1:5" x14ac:dyDescent="0.3">
      <c r="A581" s="24" t="s">
        <v>1443</v>
      </c>
      <c r="B581" s="25" t="s">
        <v>1444</v>
      </c>
      <c r="C581" s="24" t="s">
        <v>396</v>
      </c>
      <c r="D581" s="26">
        <v>359.20699999999999</v>
      </c>
      <c r="E581" s="28"/>
    </row>
    <row r="582" spans="1:5" x14ac:dyDescent="0.3">
      <c r="A582" s="31" t="s">
        <v>1445</v>
      </c>
      <c r="B582" s="25" t="s">
        <v>1446</v>
      </c>
      <c r="C582" s="31" t="s">
        <v>204</v>
      </c>
      <c r="D582" s="26">
        <v>19.734999999999999</v>
      </c>
      <c r="E582" s="28"/>
    </row>
    <row r="583" spans="1:5" ht="27" x14ac:dyDescent="0.3">
      <c r="A583" s="24" t="s">
        <v>1447</v>
      </c>
      <c r="B583" s="25" t="s">
        <v>1448</v>
      </c>
      <c r="C583" s="24" t="s">
        <v>204</v>
      </c>
      <c r="D583" s="26">
        <v>32.418999999999997</v>
      </c>
      <c r="E583" s="28"/>
    </row>
    <row r="584" spans="1:5" x14ac:dyDescent="0.3">
      <c r="A584" s="24" t="s">
        <v>1449</v>
      </c>
      <c r="B584" s="25" t="s">
        <v>1450</v>
      </c>
      <c r="C584" s="24" t="s">
        <v>204</v>
      </c>
      <c r="D584" s="26">
        <v>48.628999999999998</v>
      </c>
      <c r="E584" s="28"/>
    </row>
    <row r="585" spans="1:5" ht="27" x14ac:dyDescent="0.3">
      <c r="A585" s="24" t="s">
        <v>1451</v>
      </c>
      <c r="B585" s="25" t="s">
        <v>1452</v>
      </c>
      <c r="C585" s="24" t="s">
        <v>204</v>
      </c>
      <c r="D585" s="26">
        <v>6.7000000000000004E-2</v>
      </c>
      <c r="E585" s="28"/>
    </row>
    <row r="586" spans="1:5" ht="27" x14ac:dyDescent="0.3">
      <c r="A586" s="24" t="s">
        <v>1453</v>
      </c>
      <c r="B586" s="25" t="s">
        <v>1454</v>
      </c>
      <c r="C586" s="24" t="s">
        <v>204</v>
      </c>
      <c r="D586" s="26">
        <v>0.192</v>
      </c>
      <c r="E586" s="28"/>
    </row>
    <row r="587" spans="1:5" ht="27" x14ac:dyDescent="0.3">
      <c r="A587" s="24" t="s">
        <v>1455</v>
      </c>
      <c r="B587" s="25" t="s">
        <v>1456</v>
      </c>
      <c r="C587" s="24" t="s">
        <v>204</v>
      </c>
      <c r="D587" s="26">
        <v>0.96899999999999997</v>
      </c>
      <c r="E587" s="28"/>
    </row>
    <row r="588" spans="1:5" ht="27" x14ac:dyDescent="0.3">
      <c r="A588" s="24" t="s">
        <v>1457</v>
      </c>
      <c r="B588" s="25" t="s">
        <v>1458</v>
      </c>
      <c r="C588" s="24" t="s">
        <v>204</v>
      </c>
      <c r="D588" s="26">
        <v>0.315</v>
      </c>
      <c r="E588" s="28"/>
    </row>
    <row r="589" spans="1:5" ht="27" x14ac:dyDescent="0.3">
      <c r="A589" s="24" t="s">
        <v>1459</v>
      </c>
      <c r="B589" s="25" t="s">
        <v>1460</v>
      </c>
      <c r="C589" s="24" t="s">
        <v>204</v>
      </c>
      <c r="D589" s="26">
        <v>0.111</v>
      </c>
      <c r="E589" s="28"/>
    </row>
    <row r="590" spans="1:5" ht="27" x14ac:dyDescent="0.3">
      <c r="A590" s="24" t="s">
        <v>1461</v>
      </c>
      <c r="B590" s="25" t="s">
        <v>1462</v>
      </c>
      <c r="C590" s="24" t="s">
        <v>1463</v>
      </c>
      <c r="D590" s="26">
        <v>1674.8</v>
      </c>
      <c r="E590" s="28"/>
    </row>
    <row r="591" spans="1:5" ht="27" x14ac:dyDescent="0.3">
      <c r="A591" s="37" t="s">
        <v>1464</v>
      </c>
      <c r="B591" s="38" t="s">
        <v>1465</v>
      </c>
      <c r="C591" s="37" t="s">
        <v>1466</v>
      </c>
      <c r="D591" s="39">
        <v>1674.8</v>
      </c>
      <c r="E591" s="40"/>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2E454-55F7-41B8-9DBA-29FC814DEA92}">
  <dimension ref="A1:D608"/>
  <sheetViews>
    <sheetView topLeftCell="A504" workbookViewId="0">
      <selection activeCell="B519" sqref="B519"/>
    </sheetView>
  </sheetViews>
  <sheetFormatPr defaultRowHeight="14.4" x14ac:dyDescent="0.3"/>
  <cols>
    <col min="1" max="1" width="13.77734375" customWidth="1"/>
    <col min="2" max="2" width="20.44140625" style="19" customWidth="1"/>
    <col min="3" max="3" width="20.5546875" customWidth="1"/>
    <col min="4" max="4" width="15.77734375" customWidth="1"/>
  </cols>
  <sheetData>
    <row r="1" spans="1:4" ht="15" thickBot="1" x14ac:dyDescent="0.35">
      <c r="A1" s="2" t="s">
        <v>201</v>
      </c>
      <c r="B1" s="20" t="s">
        <v>202</v>
      </c>
      <c r="C1" s="2" t="s">
        <v>196</v>
      </c>
      <c r="D1" s="3" t="s">
        <v>197</v>
      </c>
    </row>
    <row r="2" spans="1:4" x14ac:dyDescent="0.3">
      <c r="A2" s="7">
        <v>90371</v>
      </c>
      <c r="B2" s="18" t="s">
        <v>203</v>
      </c>
      <c r="C2" s="7" t="s">
        <v>204</v>
      </c>
      <c r="D2" s="8">
        <v>115.93600000000001</v>
      </c>
    </row>
    <row r="3" spans="1:4" x14ac:dyDescent="0.3">
      <c r="A3" s="7">
        <v>90375</v>
      </c>
      <c r="B3" s="18" t="s">
        <v>205</v>
      </c>
      <c r="C3" s="7" t="s">
        <v>206</v>
      </c>
      <c r="D3" s="8">
        <v>277.33999999999997</v>
      </c>
    </row>
    <row r="4" spans="1:4" x14ac:dyDescent="0.3">
      <c r="A4" s="7">
        <v>90376</v>
      </c>
      <c r="B4" s="18" t="s">
        <v>207</v>
      </c>
      <c r="C4" s="7" t="s">
        <v>206</v>
      </c>
      <c r="D4" s="8">
        <v>278.69499999999999</v>
      </c>
    </row>
    <row r="5" spans="1:4" x14ac:dyDescent="0.3">
      <c r="A5" s="7">
        <v>90585</v>
      </c>
      <c r="B5" s="18" t="s">
        <v>208</v>
      </c>
      <c r="C5" s="7" t="s">
        <v>209</v>
      </c>
      <c r="D5" s="8">
        <v>141.251</v>
      </c>
    </row>
    <row r="6" spans="1:4" ht="27" x14ac:dyDescent="0.3">
      <c r="A6" s="7">
        <v>90586</v>
      </c>
      <c r="B6" s="18" t="s">
        <v>210</v>
      </c>
      <c r="C6" s="7" t="s">
        <v>211</v>
      </c>
      <c r="D6" s="8">
        <v>141.251</v>
      </c>
    </row>
    <row r="7" spans="1:4" x14ac:dyDescent="0.3">
      <c r="A7" s="7">
        <v>90632</v>
      </c>
      <c r="B7" s="18" t="s">
        <v>212</v>
      </c>
      <c r="C7" s="7" t="s">
        <v>204</v>
      </c>
      <c r="D7" s="8">
        <v>59.906999999999996</v>
      </c>
    </row>
    <row r="8" spans="1:4" x14ac:dyDescent="0.3">
      <c r="A8" s="7">
        <v>90653</v>
      </c>
      <c r="B8" s="18" t="s">
        <v>213</v>
      </c>
      <c r="C8" s="7" t="s">
        <v>214</v>
      </c>
      <c r="D8" s="8">
        <v>59.53</v>
      </c>
    </row>
    <row r="9" spans="1:4" ht="27" x14ac:dyDescent="0.3">
      <c r="A9" s="7">
        <v>90662</v>
      </c>
      <c r="B9" s="18" t="s">
        <v>217</v>
      </c>
      <c r="C9" s="9" t="s">
        <v>216</v>
      </c>
      <c r="D9" s="8">
        <v>56.006</v>
      </c>
    </row>
    <row r="10" spans="1:4" x14ac:dyDescent="0.3">
      <c r="A10" s="7">
        <v>90670</v>
      </c>
      <c r="B10" s="18" t="s">
        <v>218</v>
      </c>
      <c r="C10" s="7" t="s">
        <v>216</v>
      </c>
      <c r="D10" s="8">
        <v>214.62</v>
      </c>
    </row>
    <row r="11" spans="1:4" ht="27" x14ac:dyDescent="0.3">
      <c r="A11" s="7">
        <v>90672</v>
      </c>
      <c r="B11" s="18" t="s">
        <v>1547</v>
      </c>
      <c r="C11" s="7" t="s">
        <v>1548</v>
      </c>
      <c r="D11" s="8">
        <v>26.876000000000001</v>
      </c>
    </row>
    <row r="12" spans="1:4" ht="27" x14ac:dyDescent="0.3">
      <c r="A12" s="10">
        <v>90674</v>
      </c>
      <c r="B12" s="18" t="s">
        <v>219</v>
      </c>
      <c r="C12" s="11" t="s">
        <v>216</v>
      </c>
      <c r="D12" s="8">
        <v>28.13</v>
      </c>
    </row>
    <row r="13" spans="1:4" x14ac:dyDescent="0.3">
      <c r="A13" s="7">
        <v>90675</v>
      </c>
      <c r="B13" s="18" t="s">
        <v>220</v>
      </c>
      <c r="C13" s="7" t="s">
        <v>204</v>
      </c>
      <c r="D13" s="8">
        <v>277.81599999999997</v>
      </c>
    </row>
    <row r="14" spans="1:4" ht="27" x14ac:dyDescent="0.3">
      <c r="A14" s="7">
        <v>90682</v>
      </c>
      <c r="B14" s="18" t="s">
        <v>221</v>
      </c>
      <c r="C14" s="11" t="s">
        <v>216</v>
      </c>
      <c r="D14" s="8">
        <v>56.006</v>
      </c>
    </row>
    <row r="15" spans="1:4" ht="27" x14ac:dyDescent="0.3">
      <c r="A15" s="10">
        <v>90685</v>
      </c>
      <c r="B15" s="18" t="s">
        <v>222</v>
      </c>
      <c r="C15" s="10" t="s">
        <v>223</v>
      </c>
      <c r="D15" s="8">
        <v>20.343</v>
      </c>
    </row>
    <row r="16" spans="1:4" ht="27" x14ac:dyDescent="0.3">
      <c r="A16" s="10">
        <v>90686</v>
      </c>
      <c r="B16" s="18" t="s">
        <v>224</v>
      </c>
      <c r="C16" s="10" t="s">
        <v>214</v>
      </c>
      <c r="D16" s="8">
        <v>19.032299999999999</v>
      </c>
    </row>
    <row r="17" spans="1:4" ht="27" x14ac:dyDescent="0.3">
      <c r="A17" s="7">
        <v>90687</v>
      </c>
      <c r="B17" s="18" t="s">
        <v>225</v>
      </c>
      <c r="C17" s="7" t="s">
        <v>226</v>
      </c>
      <c r="D17" s="8">
        <v>9.4030000000000005</v>
      </c>
    </row>
    <row r="18" spans="1:4" ht="27" x14ac:dyDescent="0.3">
      <c r="A18" s="10">
        <v>90688</v>
      </c>
      <c r="B18" s="18" t="s">
        <v>227</v>
      </c>
      <c r="C18" s="10" t="s">
        <v>216</v>
      </c>
      <c r="D18" s="8">
        <v>17.8353</v>
      </c>
    </row>
    <row r="19" spans="1:4" x14ac:dyDescent="0.3">
      <c r="A19" s="7">
        <v>90691</v>
      </c>
      <c r="B19" s="18" t="s">
        <v>228</v>
      </c>
      <c r="C19" s="7" t="s">
        <v>216</v>
      </c>
      <c r="D19" s="8">
        <v>104.44499999999999</v>
      </c>
    </row>
    <row r="20" spans="1:4" ht="27" x14ac:dyDescent="0.3">
      <c r="A20" s="7">
        <v>90714</v>
      </c>
      <c r="B20" s="18" t="s">
        <v>229</v>
      </c>
      <c r="C20" s="7" t="s">
        <v>216</v>
      </c>
      <c r="D20" s="8">
        <v>25.106000000000002</v>
      </c>
    </row>
    <row r="21" spans="1:4" ht="27" x14ac:dyDescent="0.3">
      <c r="A21" s="7">
        <v>90715</v>
      </c>
      <c r="B21" s="18" t="s">
        <v>230</v>
      </c>
      <c r="C21" s="7" t="s">
        <v>216</v>
      </c>
      <c r="D21" s="8">
        <v>33.637</v>
      </c>
    </row>
    <row r="22" spans="1:4" ht="27" x14ac:dyDescent="0.3">
      <c r="A22" s="7">
        <v>90732</v>
      </c>
      <c r="B22" s="18" t="s">
        <v>231</v>
      </c>
      <c r="C22" s="7" t="s">
        <v>216</v>
      </c>
      <c r="D22" s="8">
        <v>114.211</v>
      </c>
    </row>
    <row r="23" spans="1:4" ht="27" x14ac:dyDescent="0.3">
      <c r="A23" s="7">
        <v>90739</v>
      </c>
      <c r="B23" s="18" t="s">
        <v>232</v>
      </c>
      <c r="C23" s="7" t="s">
        <v>233</v>
      </c>
      <c r="D23" s="8">
        <v>131.1</v>
      </c>
    </row>
    <row r="24" spans="1:4" ht="27" x14ac:dyDescent="0.3">
      <c r="A24" s="7">
        <v>90740</v>
      </c>
      <c r="B24" s="18" t="s">
        <v>234</v>
      </c>
      <c r="C24" s="7" t="s">
        <v>235</v>
      </c>
      <c r="D24" s="8">
        <v>134.12100000000001</v>
      </c>
    </row>
    <row r="25" spans="1:4" ht="27" x14ac:dyDescent="0.3">
      <c r="A25" s="7">
        <v>90744</v>
      </c>
      <c r="B25" s="18" t="s">
        <v>236</v>
      </c>
      <c r="C25" s="12" t="s">
        <v>237</v>
      </c>
      <c r="D25" s="8">
        <v>26.898</v>
      </c>
    </row>
    <row r="26" spans="1:4" ht="27" x14ac:dyDescent="0.3">
      <c r="A26" s="7">
        <v>90746</v>
      </c>
      <c r="B26" s="18" t="s">
        <v>238</v>
      </c>
      <c r="C26" s="7" t="s">
        <v>239</v>
      </c>
      <c r="D26" s="8">
        <v>67.061000000000007</v>
      </c>
    </row>
    <row r="27" spans="1:4" ht="27" x14ac:dyDescent="0.3">
      <c r="A27" s="7">
        <v>90747</v>
      </c>
      <c r="B27" s="18" t="s">
        <v>240</v>
      </c>
      <c r="C27" s="7" t="s">
        <v>235</v>
      </c>
      <c r="D27" s="8">
        <v>134.12100000000001</v>
      </c>
    </row>
    <row r="28" spans="1:4" x14ac:dyDescent="0.3">
      <c r="A28" s="7">
        <v>90756</v>
      </c>
      <c r="B28" s="18" t="s">
        <v>241</v>
      </c>
      <c r="C28" s="11" t="s">
        <v>216</v>
      </c>
      <c r="D28" s="8">
        <v>26.657</v>
      </c>
    </row>
    <row r="29" spans="1:4" ht="27" x14ac:dyDescent="0.3">
      <c r="A29" s="7" t="s">
        <v>1549</v>
      </c>
      <c r="B29" s="18" t="s">
        <v>1550</v>
      </c>
      <c r="C29" s="7" t="s">
        <v>254</v>
      </c>
      <c r="D29" s="8">
        <v>0.183</v>
      </c>
    </row>
    <row r="30" spans="1:4" x14ac:dyDescent="0.3">
      <c r="A30" s="7" t="s">
        <v>242</v>
      </c>
      <c r="B30" s="18" t="s">
        <v>243</v>
      </c>
      <c r="C30" s="7" t="s">
        <v>204</v>
      </c>
      <c r="D30" s="8">
        <v>1.407</v>
      </c>
    </row>
    <row r="31" spans="1:4" x14ac:dyDescent="0.3">
      <c r="A31" s="7" t="s">
        <v>244</v>
      </c>
      <c r="B31" s="18" t="s">
        <v>245</v>
      </c>
      <c r="C31" s="7" t="s">
        <v>204</v>
      </c>
      <c r="D31" s="8">
        <v>1.9279999999999999</v>
      </c>
    </row>
    <row r="32" spans="1:4" ht="27" x14ac:dyDescent="0.3">
      <c r="A32" s="7" t="s">
        <v>246</v>
      </c>
      <c r="B32" s="18" t="s">
        <v>247</v>
      </c>
      <c r="C32" s="7" t="s">
        <v>204</v>
      </c>
      <c r="D32" s="8">
        <v>1.9059999999999999</v>
      </c>
    </row>
    <row r="33" spans="1:4" ht="27" x14ac:dyDescent="0.3">
      <c r="A33" s="7" t="s">
        <v>248</v>
      </c>
      <c r="B33" s="18" t="s">
        <v>249</v>
      </c>
      <c r="C33" s="7" t="s">
        <v>204</v>
      </c>
      <c r="D33" s="8">
        <v>1.546</v>
      </c>
    </row>
    <row r="34" spans="1:4" ht="27" x14ac:dyDescent="0.3">
      <c r="A34" s="13" t="s">
        <v>250</v>
      </c>
      <c r="B34" s="18" t="s">
        <v>251</v>
      </c>
      <c r="C34" s="13" t="s">
        <v>204</v>
      </c>
      <c r="D34" s="8">
        <v>14.744999999999999</v>
      </c>
    </row>
    <row r="35" spans="1:4" x14ac:dyDescent="0.3">
      <c r="A35" s="7" t="s">
        <v>252</v>
      </c>
      <c r="B35" s="18" t="s">
        <v>253</v>
      </c>
      <c r="C35" s="14" t="s">
        <v>254</v>
      </c>
      <c r="D35" s="8">
        <v>0.36199999999999999</v>
      </c>
    </row>
    <row r="36" spans="1:4" ht="27" x14ac:dyDescent="0.3">
      <c r="A36" s="10" t="s">
        <v>255</v>
      </c>
      <c r="B36" s="18" t="s">
        <v>256</v>
      </c>
      <c r="C36" s="10" t="s">
        <v>257</v>
      </c>
      <c r="D36" s="8">
        <v>1145.1600000000001</v>
      </c>
    </row>
    <row r="37" spans="1:4" ht="27" x14ac:dyDescent="0.3">
      <c r="A37" s="10" t="s">
        <v>258</v>
      </c>
      <c r="B37" s="18" t="s">
        <v>259</v>
      </c>
      <c r="C37" s="10" t="s">
        <v>260</v>
      </c>
      <c r="D37" s="8">
        <v>164.38</v>
      </c>
    </row>
    <row r="38" spans="1:4" ht="27" x14ac:dyDescent="0.3">
      <c r="A38" s="7" t="s">
        <v>1552</v>
      </c>
      <c r="B38" s="18" t="s">
        <v>1553</v>
      </c>
      <c r="C38" s="7" t="s">
        <v>198</v>
      </c>
      <c r="D38" s="8">
        <v>3.4430000000000001</v>
      </c>
    </row>
    <row r="39" spans="1:4" x14ac:dyDescent="0.3">
      <c r="A39" s="7" t="s">
        <v>1554</v>
      </c>
      <c r="B39" s="18" t="s">
        <v>1555</v>
      </c>
      <c r="C39" s="7" t="s">
        <v>198</v>
      </c>
      <c r="D39" s="8">
        <v>1.018</v>
      </c>
    </row>
    <row r="40" spans="1:4" x14ac:dyDescent="0.3">
      <c r="A40" s="7" t="s">
        <v>261</v>
      </c>
      <c r="B40" s="18" t="s">
        <v>262</v>
      </c>
      <c r="C40" s="14" t="s">
        <v>199</v>
      </c>
      <c r="D40" s="8">
        <v>54.848999999999997</v>
      </c>
    </row>
    <row r="41" spans="1:4" x14ac:dyDescent="0.3">
      <c r="A41" s="7" t="s">
        <v>263</v>
      </c>
      <c r="B41" s="18" t="s">
        <v>264</v>
      </c>
      <c r="C41" s="7" t="s">
        <v>199</v>
      </c>
      <c r="D41" s="8">
        <v>1429.0708000000002</v>
      </c>
    </row>
    <row r="42" spans="1:4" x14ac:dyDescent="0.3">
      <c r="A42" s="7" t="s">
        <v>265</v>
      </c>
      <c r="B42" s="18" t="s">
        <v>266</v>
      </c>
      <c r="C42" s="7" t="s">
        <v>257</v>
      </c>
      <c r="D42" s="8">
        <v>0.90800000000000003</v>
      </c>
    </row>
    <row r="43" spans="1:4" x14ac:dyDescent="0.3">
      <c r="A43" s="7" t="s">
        <v>267</v>
      </c>
      <c r="B43" s="18" t="s">
        <v>268</v>
      </c>
      <c r="C43" s="7" t="s">
        <v>200</v>
      </c>
      <c r="D43" s="8">
        <v>5.3999999999999999E-2</v>
      </c>
    </row>
    <row r="44" spans="1:4" x14ac:dyDescent="0.3">
      <c r="A44" s="7" t="s">
        <v>269</v>
      </c>
      <c r="B44" s="18" t="s">
        <v>270</v>
      </c>
      <c r="C44" s="7" t="s">
        <v>198</v>
      </c>
      <c r="D44" s="8">
        <v>0.623</v>
      </c>
    </row>
    <row r="45" spans="1:4" ht="27" x14ac:dyDescent="0.3">
      <c r="A45" s="7" t="s">
        <v>271</v>
      </c>
      <c r="B45" s="18" t="s">
        <v>272</v>
      </c>
      <c r="C45" s="7" t="s">
        <v>273</v>
      </c>
      <c r="D45" s="8">
        <v>0.81799999999999995</v>
      </c>
    </row>
    <row r="46" spans="1:4" x14ac:dyDescent="0.3">
      <c r="A46" s="7" t="s">
        <v>274</v>
      </c>
      <c r="B46" s="18" t="s">
        <v>275</v>
      </c>
      <c r="C46" s="7" t="s">
        <v>198</v>
      </c>
      <c r="D46" s="8">
        <v>945.029</v>
      </c>
    </row>
    <row r="47" spans="1:4" ht="27" x14ac:dyDescent="0.3">
      <c r="A47" s="7" t="s">
        <v>1556</v>
      </c>
      <c r="B47" s="18" t="s">
        <v>1557</v>
      </c>
      <c r="C47" s="7" t="s">
        <v>198</v>
      </c>
      <c r="D47" s="8">
        <v>317.58333333333331</v>
      </c>
    </row>
    <row r="48" spans="1:4" ht="27" x14ac:dyDescent="0.3">
      <c r="A48" s="7" t="s">
        <v>276</v>
      </c>
      <c r="B48" s="18" t="s">
        <v>277</v>
      </c>
      <c r="C48" s="7" t="s">
        <v>198</v>
      </c>
      <c r="D48" s="8">
        <v>183.745</v>
      </c>
    </row>
    <row r="49" spans="1:4" x14ac:dyDescent="0.3">
      <c r="A49" s="10" t="s">
        <v>278</v>
      </c>
      <c r="B49" s="18" t="s">
        <v>279</v>
      </c>
      <c r="C49" s="10" t="s">
        <v>198</v>
      </c>
      <c r="D49" s="8">
        <v>2.0870000000000002</v>
      </c>
    </row>
    <row r="50" spans="1:4" x14ac:dyDescent="0.3">
      <c r="A50" s="10" t="s">
        <v>280</v>
      </c>
      <c r="B50" s="18" t="s">
        <v>281</v>
      </c>
      <c r="C50" s="10" t="s">
        <v>198</v>
      </c>
      <c r="D50" s="8">
        <v>1949.17</v>
      </c>
    </row>
    <row r="51" spans="1:4" x14ac:dyDescent="0.3">
      <c r="A51" s="7" t="s">
        <v>282</v>
      </c>
      <c r="B51" s="18" t="s">
        <v>283</v>
      </c>
      <c r="C51" s="7" t="s">
        <v>284</v>
      </c>
      <c r="D51" s="8">
        <v>1011.889</v>
      </c>
    </row>
    <row r="52" spans="1:4" x14ac:dyDescent="0.3">
      <c r="A52" s="7" t="s">
        <v>285</v>
      </c>
      <c r="B52" s="18" t="s">
        <v>286</v>
      </c>
      <c r="C52" s="7" t="s">
        <v>199</v>
      </c>
      <c r="D52" s="8">
        <v>171.209</v>
      </c>
    </row>
    <row r="53" spans="1:4" x14ac:dyDescent="0.3">
      <c r="A53" s="7" t="s">
        <v>1558</v>
      </c>
      <c r="B53" s="18" t="s">
        <v>1559</v>
      </c>
      <c r="C53" s="7" t="s">
        <v>273</v>
      </c>
      <c r="D53" s="8">
        <v>98.346000000000004</v>
      </c>
    </row>
    <row r="54" spans="1:4" ht="27" x14ac:dyDescent="0.3">
      <c r="A54" s="7" t="s">
        <v>287</v>
      </c>
      <c r="B54" s="18" t="s">
        <v>288</v>
      </c>
      <c r="C54" s="7" t="s">
        <v>199</v>
      </c>
      <c r="D54" s="8">
        <v>4.4509999999999996</v>
      </c>
    </row>
    <row r="55" spans="1:4" x14ac:dyDescent="0.3">
      <c r="A55" s="7" t="s">
        <v>289</v>
      </c>
      <c r="B55" s="18" t="s">
        <v>290</v>
      </c>
      <c r="C55" s="7" t="s">
        <v>199</v>
      </c>
      <c r="D55" s="8">
        <v>4.8550000000000004</v>
      </c>
    </row>
    <row r="56" spans="1:4" ht="27" x14ac:dyDescent="0.3">
      <c r="A56" s="7" t="s">
        <v>291</v>
      </c>
      <c r="B56" s="18" t="s">
        <v>292</v>
      </c>
      <c r="C56" s="7" t="s">
        <v>257</v>
      </c>
      <c r="D56" s="8">
        <v>1.276</v>
      </c>
    </row>
    <row r="57" spans="1:4" ht="27" x14ac:dyDescent="0.3">
      <c r="A57" s="7" t="s">
        <v>293</v>
      </c>
      <c r="B57" s="18" t="s">
        <v>294</v>
      </c>
      <c r="C57" s="7" t="s">
        <v>295</v>
      </c>
      <c r="D57" s="8">
        <v>10.532999999999999</v>
      </c>
    </row>
    <row r="58" spans="1:4" x14ac:dyDescent="0.3">
      <c r="A58" s="7" t="s">
        <v>296</v>
      </c>
      <c r="B58" s="18" t="s">
        <v>297</v>
      </c>
      <c r="C58" s="7" t="s">
        <v>209</v>
      </c>
      <c r="D58" s="8">
        <v>38.076999999999998</v>
      </c>
    </row>
    <row r="59" spans="1:4" ht="27" x14ac:dyDescent="0.3">
      <c r="A59" s="7" t="s">
        <v>298</v>
      </c>
      <c r="B59" s="18" t="s">
        <v>299</v>
      </c>
      <c r="C59" s="7" t="s">
        <v>199</v>
      </c>
      <c r="D59" s="8">
        <v>9.0579999999999998</v>
      </c>
    </row>
    <row r="60" spans="1:4" ht="27" x14ac:dyDescent="0.3">
      <c r="A60" s="7" t="s">
        <v>300</v>
      </c>
      <c r="B60" s="18" t="s">
        <v>301</v>
      </c>
      <c r="C60" s="7" t="s">
        <v>199</v>
      </c>
      <c r="D60" s="8">
        <v>26.725999999999999</v>
      </c>
    </row>
    <row r="61" spans="1:4" x14ac:dyDescent="0.3">
      <c r="A61" s="7" t="s">
        <v>302</v>
      </c>
      <c r="B61" s="18" t="s">
        <v>303</v>
      </c>
      <c r="C61" s="7" t="s">
        <v>284</v>
      </c>
      <c r="D61" s="8">
        <v>0.98</v>
      </c>
    </row>
    <row r="62" spans="1:4" ht="27" x14ac:dyDescent="0.3">
      <c r="A62" s="7" t="s">
        <v>304</v>
      </c>
      <c r="B62" s="18" t="s">
        <v>305</v>
      </c>
      <c r="C62" s="7" t="s">
        <v>306</v>
      </c>
      <c r="D62" s="8">
        <v>2.577</v>
      </c>
    </row>
    <row r="63" spans="1:4" x14ac:dyDescent="0.3">
      <c r="A63" s="7" t="s">
        <v>307</v>
      </c>
      <c r="B63" s="18" t="s">
        <v>308</v>
      </c>
      <c r="C63" s="7" t="s">
        <v>198</v>
      </c>
      <c r="D63" s="8">
        <v>0.52400000000000002</v>
      </c>
    </row>
    <row r="64" spans="1:4" ht="27" x14ac:dyDescent="0.3">
      <c r="A64" s="7" t="s">
        <v>309</v>
      </c>
      <c r="B64" s="18" t="s">
        <v>310</v>
      </c>
      <c r="C64" s="7" t="s">
        <v>311</v>
      </c>
      <c r="D64" s="8">
        <v>3.7509999999999999</v>
      </c>
    </row>
    <row r="65" spans="1:4" ht="27" x14ac:dyDescent="0.3">
      <c r="A65" s="7" t="s">
        <v>312</v>
      </c>
      <c r="B65" s="18" t="s">
        <v>313</v>
      </c>
      <c r="C65" s="7" t="s">
        <v>198</v>
      </c>
      <c r="D65" s="8">
        <v>5.702</v>
      </c>
    </row>
    <row r="66" spans="1:4" x14ac:dyDescent="0.3">
      <c r="A66" s="7" t="s">
        <v>314</v>
      </c>
      <c r="B66" s="18" t="s">
        <v>315</v>
      </c>
      <c r="C66" s="7" t="s">
        <v>284</v>
      </c>
      <c r="D66" s="8">
        <v>2.5990000000000002</v>
      </c>
    </row>
    <row r="67" spans="1:4" ht="27" x14ac:dyDescent="0.3">
      <c r="A67" s="7" t="s">
        <v>316</v>
      </c>
      <c r="B67" s="18" t="s">
        <v>317</v>
      </c>
      <c r="C67" s="7" t="s">
        <v>318</v>
      </c>
      <c r="D67" s="8">
        <v>7.9000000000000001E-2</v>
      </c>
    </row>
    <row r="68" spans="1:4" x14ac:dyDescent="0.3">
      <c r="A68" s="7" t="s">
        <v>319</v>
      </c>
      <c r="B68" s="18" t="s">
        <v>320</v>
      </c>
      <c r="C68" s="7" t="s">
        <v>257</v>
      </c>
      <c r="D68" s="8">
        <v>54.761000000000003</v>
      </c>
    </row>
    <row r="69" spans="1:4" ht="27" x14ac:dyDescent="0.3">
      <c r="A69" s="7" t="s">
        <v>321</v>
      </c>
      <c r="B69" s="18" t="s">
        <v>322</v>
      </c>
      <c r="C69" s="7" t="s">
        <v>199</v>
      </c>
      <c r="D69" s="8">
        <v>173.6</v>
      </c>
    </row>
    <row r="70" spans="1:4" ht="27" x14ac:dyDescent="0.3">
      <c r="A70" s="7" t="s">
        <v>323</v>
      </c>
      <c r="B70" s="18" t="s">
        <v>324</v>
      </c>
      <c r="C70" s="7" t="s">
        <v>325</v>
      </c>
      <c r="D70" s="8">
        <v>60.067999999999998</v>
      </c>
    </row>
    <row r="71" spans="1:4" x14ac:dyDescent="0.3">
      <c r="A71" s="7" t="s">
        <v>326</v>
      </c>
      <c r="B71" s="18" t="s">
        <v>327</v>
      </c>
      <c r="C71" s="7" t="s">
        <v>311</v>
      </c>
      <c r="D71" s="8">
        <v>3808.08</v>
      </c>
    </row>
    <row r="72" spans="1:4" x14ac:dyDescent="0.3">
      <c r="A72" s="7" t="s">
        <v>328</v>
      </c>
      <c r="B72" s="18" t="s">
        <v>329</v>
      </c>
      <c r="C72" s="7" t="s">
        <v>198</v>
      </c>
      <c r="D72" s="8">
        <v>3.7719999999999998</v>
      </c>
    </row>
    <row r="73" spans="1:4" x14ac:dyDescent="0.3">
      <c r="A73" s="13" t="s">
        <v>330</v>
      </c>
      <c r="B73" s="18" t="s">
        <v>331</v>
      </c>
      <c r="C73" s="13" t="s">
        <v>199</v>
      </c>
      <c r="D73" s="8">
        <v>45.491</v>
      </c>
    </row>
    <row r="74" spans="1:4" x14ac:dyDescent="0.3">
      <c r="A74" s="7" t="s">
        <v>332</v>
      </c>
      <c r="B74" s="18" t="s">
        <v>333</v>
      </c>
      <c r="C74" s="7" t="s">
        <v>311</v>
      </c>
      <c r="D74" s="8">
        <v>53.323</v>
      </c>
    </row>
    <row r="75" spans="1:4" ht="27" x14ac:dyDescent="0.3">
      <c r="A75" s="7" t="s">
        <v>334</v>
      </c>
      <c r="B75" s="18" t="s">
        <v>335</v>
      </c>
      <c r="C75" s="7" t="s">
        <v>198</v>
      </c>
      <c r="D75" s="8">
        <v>17.731000000000002</v>
      </c>
    </row>
    <row r="76" spans="1:4" ht="27" x14ac:dyDescent="0.3">
      <c r="A76" s="10" t="s">
        <v>336</v>
      </c>
      <c r="B76" s="18" t="s">
        <v>337</v>
      </c>
      <c r="C76" s="10" t="s">
        <v>198</v>
      </c>
      <c r="D76" s="8">
        <v>170.49100000000001</v>
      </c>
    </row>
    <row r="77" spans="1:4" ht="27" x14ac:dyDescent="0.3">
      <c r="A77" s="7" t="s">
        <v>338</v>
      </c>
      <c r="B77" s="18" t="s">
        <v>339</v>
      </c>
      <c r="C77" s="7" t="s">
        <v>340</v>
      </c>
      <c r="D77" s="8">
        <v>10.866</v>
      </c>
    </row>
    <row r="78" spans="1:4" ht="27" x14ac:dyDescent="0.3">
      <c r="A78" s="7" t="s">
        <v>341</v>
      </c>
      <c r="B78" s="18" t="s">
        <v>342</v>
      </c>
      <c r="C78" s="7" t="s">
        <v>340</v>
      </c>
      <c r="D78" s="8">
        <v>13.763999999999999</v>
      </c>
    </row>
    <row r="79" spans="1:4" ht="27" x14ac:dyDescent="0.3">
      <c r="A79" s="10" t="s">
        <v>343</v>
      </c>
      <c r="B79" s="18" t="s">
        <v>344</v>
      </c>
      <c r="C79" s="10" t="s">
        <v>199</v>
      </c>
      <c r="D79" s="8">
        <v>39.786999999999999</v>
      </c>
    </row>
    <row r="80" spans="1:4" ht="27" x14ac:dyDescent="0.3">
      <c r="A80" s="7" t="s">
        <v>345</v>
      </c>
      <c r="B80" s="18" t="s">
        <v>346</v>
      </c>
      <c r="C80" s="7" t="s">
        <v>347</v>
      </c>
      <c r="D80" s="8">
        <v>1211.27</v>
      </c>
    </row>
    <row r="81" spans="1:4" x14ac:dyDescent="0.3">
      <c r="A81" s="7" t="s">
        <v>348</v>
      </c>
      <c r="B81" s="18" t="s">
        <v>349</v>
      </c>
      <c r="C81" s="7" t="s">
        <v>198</v>
      </c>
      <c r="D81" s="8">
        <v>0.56599999999999995</v>
      </c>
    </row>
    <row r="82" spans="1:4" ht="27" x14ac:dyDescent="0.3">
      <c r="A82" s="7" t="s">
        <v>350</v>
      </c>
      <c r="B82" s="18" t="s">
        <v>351</v>
      </c>
      <c r="C82" s="7" t="s">
        <v>198</v>
      </c>
      <c r="D82" s="8">
        <v>353.28500000000003</v>
      </c>
    </row>
    <row r="83" spans="1:4" ht="27" x14ac:dyDescent="0.3">
      <c r="A83" s="7" t="s">
        <v>352</v>
      </c>
      <c r="B83" s="18" t="s">
        <v>353</v>
      </c>
      <c r="C83" s="7" t="s">
        <v>354</v>
      </c>
      <c r="D83" s="8">
        <v>6.1219999999999999</v>
      </c>
    </row>
    <row r="84" spans="1:4" x14ac:dyDescent="0.3">
      <c r="A84" s="15" t="s">
        <v>355</v>
      </c>
      <c r="B84" s="18" t="s">
        <v>356</v>
      </c>
      <c r="C84" s="7" t="s">
        <v>357</v>
      </c>
      <c r="D84" s="8">
        <v>8.4019999999999992</v>
      </c>
    </row>
    <row r="85" spans="1:4" x14ac:dyDescent="0.3">
      <c r="A85" s="7" t="s">
        <v>358</v>
      </c>
      <c r="B85" s="18" t="s">
        <v>359</v>
      </c>
      <c r="C85" s="7" t="s">
        <v>360</v>
      </c>
      <c r="D85" s="8">
        <v>11.988</v>
      </c>
    </row>
    <row r="86" spans="1:4" x14ac:dyDescent="0.3">
      <c r="A86" s="7" t="s">
        <v>361</v>
      </c>
      <c r="B86" s="18" t="s">
        <v>362</v>
      </c>
      <c r="C86" s="13" t="s">
        <v>354</v>
      </c>
      <c r="D86" s="8">
        <v>5.0110000000000001</v>
      </c>
    </row>
    <row r="87" spans="1:4" ht="27" x14ac:dyDescent="0.3">
      <c r="A87" s="7" t="s">
        <v>363</v>
      </c>
      <c r="B87" s="18" t="s">
        <v>364</v>
      </c>
      <c r="C87" s="7" t="s">
        <v>273</v>
      </c>
      <c r="D87" s="8">
        <v>4.7489999999999997</v>
      </c>
    </row>
    <row r="88" spans="1:4" x14ac:dyDescent="0.3">
      <c r="A88" s="7" t="s">
        <v>365</v>
      </c>
      <c r="B88" s="18" t="s">
        <v>366</v>
      </c>
      <c r="C88" s="7" t="s">
        <v>198</v>
      </c>
      <c r="D88" s="8">
        <v>4.8940000000000001</v>
      </c>
    </row>
    <row r="89" spans="1:4" ht="27" x14ac:dyDescent="0.3">
      <c r="A89" s="7" t="s">
        <v>367</v>
      </c>
      <c r="B89" s="18" t="s">
        <v>368</v>
      </c>
      <c r="C89" s="7" t="s">
        <v>198</v>
      </c>
      <c r="D89" s="8">
        <v>2.4729999999999999</v>
      </c>
    </row>
    <row r="90" spans="1:4" x14ac:dyDescent="0.3">
      <c r="A90" s="7" t="s">
        <v>369</v>
      </c>
      <c r="B90" s="18" t="s">
        <v>370</v>
      </c>
      <c r="C90" s="7" t="s">
        <v>371</v>
      </c>
      <c r="D90" s="8">
        <v>28.077000000000002</v>
      </c>
    </row>
    <row r="91" spans="1:4" x14ac:dyDescent="0.3">
      <c r="A91" s="7" t="s">
        <v>372</v>
      </c>
      <c r="B91" s="18" t="s">
        <v>373</v>
      </c>
      <c r="C91" s="7" t="s">
        <v>371</v>
      </c>
      <c r="D91" s="8">
        <v>51.320999999999998</v>
      </c>
    </row>
    <row r="92" spans="1:4" x14ac:dyDescent="0.3">
      <c r="A92" s="7" t="s">
        <v>374</v>
      </c>
      <c r="B92" s="18" t="s">
        <v>375</v>
      </c>
      <c r="C92" s="13" t="s">
        <v>371</v>
      </c>
      <c r="D92" s="8">
        <v>56.481999999999999</v>
      </c>
    </row>
    <row r="93" spans="1:4" ht="27" x14ac:dyDescent="0.3">
      <c r="A93" s="7" t="s">
        <v>376</v>
      </c>
      <c r="B93" s="18" t="s">
        <v>377</v>
      </c>
      <c r="C93" s="7" t="s">
        <v>378</v>
      </c>
      <c r="D93" s="8">
        <v>5594.4219999999996</v>
      </c>
    </row>
    <row r="94" spans="1:4" ht="27" x14ac:dyDescent="0.3">
      <c r="A94" s="7" t="s">
        <v>379</v>
      </c>
      <c r="B94" s="18" t="s">
        <v>380</v>
      </c>
      <c r="C94" s="7" t="s">
        <v>381</v>
      </c>
      <c r="D94" s="8">
        <v>3.4390000000000001</v>
      </c>
    </row>
    <row r="95" spans="1:4" ht="27" x14ac:dyDescent="0.3">
      <c r="A95" s="7" t="s">
        <v>382</v>
      </c>
      <c r="B95" s="18" t="s">
        <v>383</v>
      </c>
      <c r="C95" s="7" t="s">
        <v>384</v>
      </c>
      <c r="D95" s="8">
        <v>2656.4810000000002</v>
      </c>
    </row>
    <row r="96" spans="1:4" ht="27" x14ac:dyDescent="0.3">
      <c r="A96" s="7" t="s">
        <v>385</v>
      </c>
      <c r="B96" s="18" t="s">
        <v>386</v>
      </c>
      <c r="C96" s="7" t="s">
        <v>387</v>
      </c>
      <c r="D96" s="8">
        <v>0.73599999999999999</v>
      </c>
    </row>
    <row r="97" spans="1:4" x14ac:dyDescent="0.3">
      <c r="A97" s="7" t="s">
        <v>388</v>
      </c>
      <c r="B97" s="18" t="s">
        <v>389</v>
      </c>
      <c r="C97" s="7" t="s">
        <v>200</v>
      </c>
      <c r="D97" s="8">
        <v>7.0309999999999997</v>
      </c>
    </row>
    <row r="98" spans="1:4" x14ac:dyDescent="0.3">
      <c r="A98" s="7" t="s">
        <v>390</v>
      </c>
      <c r="B98" s="18" t="s">
        <v>391</v>
      </c>
      <c r="C98" s="7" t="s">
        <v>198</v>
      </c>
      <c r="D98" s="8">
        <v>111.002</v>
      </c>
    </row>
    <row r="99" spans="1:4" ht="27" x14ac:dyDescent="0.3">
      <c r="A99" s="7" t="s">
        <v>392</v>
      </c>
      <c r="B99" s="18" t="s">
        <v>393</v>
      </c>
      <c r="C99" s="7" t="s">
        <v>209</v>
      </c>
      <c r="D99" s="8">
        <v>3.3290000000000002</v>
      </c>
    </row>
    <row r="100" spans="1:4" ht="27" x14ac:dyDescent="0.3">
      <c r="A100" s="7" t="s">
        <v>394</v>
      </c>
      <c r="B100" s="18" t="s">
        <v>1560</v>
      </c>
      <c r="C100" s="7" t="s">
        <v>396</v>
      </c>
      <c r="D100" s="8">
        <v>0.16600000000000001</v>
      </c>
    </row>
    <row r="101" spans="1:4" ht="27" x14ac:dyDescent="0.3">
      <c r="A101" s="7" t="s">
        <v>1561</v>
      </c>
      <c r="B101" s="18" t="s">
        <v>1562</v>
      </c>
      <c r="C101" s="7" t="s">
        <v>396</v>
      </c>
      <c r="D101" s="8">
        <v>2.0059999999999998</v>
      </c>
    </row>
    <row r="102" spans="1:4" ht="27" x14ac:dyDescent="0.3">
      <c r="A102" s="7" t="s">
        <v>397</v>
      </c>
      <c r="B102" s="18" t="s">
        <v>398</v>
      </c>
      <c r="C102" s="7" t="s">
        <v>381</v>
      </c>
      <c r="D102" s="8">
        <v>2.3279999999999998</v>
      </c>
    </row>
    <row r="103" spans="1:4" ht="27" x14ac:dyDescent="0.3">
      <c r="A103" s="7" t="s">
        <v>399</v>
      </c>
      <c r="B103" s="18" t="s">
        <v>400</v>
      </c>
      <c r="C103" s="7" t="s">
        <v>284</v>
      </c>
      <c r="D103" s="8">
        <v>0.81699999999999995</v>
      </c>
    </row>
    <row r="104" spans="1:4" ht="27" x14ac:dyDescent="0.3">
      <c r="A104" s="7" t="s">
        <v>401</v>
      </c>
      <c r="B104" s="18" t="s">
        <v>402</v>
      </c>
      <c r="C104" s="7" t="s">
        <v>284</v>
      </c>
      <c r="D104" s="8">
        <v>1.7789999999999999</v>
      </c>
    </row>
    <row r="105" spans="1:4" ht="27" x14ac:dyDescent="0.3">
      <c r="A105" s="7" t="s">
        <v>403</v>
      </c>
      <c r="B105" s="18" t="s">
        <v>404</v>
      </c>
      <c r="C105" s="7" t="s">
        <v>405</v>
      </c>
      <c r="D105" s="8">
        <v>5.2919999999999998</v>
      </c>
    </row>
    <row r="106" spans="1:4" ht="27" x14ac:dyDescent="0.3">
      <c r="A106" s="10" t="s">
        <v>406</v>
      </c>
      <c r="B106" s="18" t="s">
        <v>407</v>
      </c>
      <c r="C106" s="10" t="s">
        <v>408</v>
      </c>
      <c r="D106" s="8">
        <v>5.9249999999999998</v>
      </c>
    </row>
    <row r="107" spans="1:4" ht="27" x14ac:dyDescent="0.3">
      <c r="A107" s="7" t="s">
        <v>409</v>
      </c>
      <c r="B107" s="18" t="s">
        <v>410</v>
      </c>
      <c r="C107" s="7" t="s">
        <v>295</v>
      </c>
      <c r="D107" s="8">
        <v>0.59899999999999998</v>
      </c>
    </row>
    <row r="108" spans="1:4" ht="27" x14ac:dyDescent="0.3">
      <c r="A108" s="7" t="s">
        <v>411</v>
      </c>
      <c r="B108" s="18" t="s">
        <v>412</v>
      </c>
      <c r="C108" s="7" t="s">
        <v>413</v>
      </c>
      <c r="D108" s="8">
        <v>2.222</v>
      </c>
    </row>
    <row r="109" spans="1:4" ht="27" x14ac:dyDescent="0.3">
      <c r="A109" s="7" t="s">
        <v>414</v>
      </c>
      <c r="B109" s="18" t="s">
        <v>415</v>
      </c>
      <c r="C109" s="7" t="s">
        <v>405</v>
      </c>
      <c r="D109" s="8">
        <v>2.3320000000000003</v>
      </c>
    </row>
    <row r="110" spans="1:4" ht="27" x14ac:dyDescent="0.3">
      <c r="A110" s="7" t="s">
        <v>416</v>
      </c>
      <c r="B110" s="18" t="s">
        <v>417</v>
      </c>
      <c r="C110" s="7" t="s">
        <v>418</v>
      </c>
      <c r="D110" s="8">
        <v>7.0720000000000001</v>
      </c>
    </row>
    <row r="111" spans="1:4" x14ac:dyDescent="0.3">
      <c r="A111" s="7" t="s">
        <v>419</v>
      </c>
      <c r="B111" s="18" t="s">
        <v>420</v>
      </c>
      <c r="C111" s="7" t="s">
        <v>199</v>
      </c>
      <c r="D111" s="8">
        <v>3.1779999999999999</v>
      </c>
    </row>
    <row r="112" spans="1:4" ht="27" x14ac:dyDescent="0.3">
      <c r="A112" s="7" t="s">
        <v>421</v>
      </c>
      <c r="B112" s="18" t="s">
        <v>422</v>
      </c>
      <c r="C112" s="7" t="s">
        <v>284</v>
      </c>
      <c r="D112" s="8">
        <v>2.028</v>
      </c>
    </row>
    <row r="113" spans="1:4" ht="27" x14ac:dyDescent="0.3">
      <c r="A113" s="7" t="s">
        <v>423</v>
      </c>
      <c r="B113" s="18" t="s">
        <v>424</v>
      </c>
      <c r="C113" s="7" t="s">
        <v>425</v>
      </c>
      <c r="D113" s="8">
        <v>92.025999999999996</v>
      </c>
    </row>
    <row r="114" spans="1:4" ht="27" x14ac:dyDescent="0.3">
      <c r="A114" s="15" t="s">
        <v>426</v>
      </c>
      <c r="B114" s="18" t="s">
        <v>427</v>
      </c>
      <c r="C114" s="7" t="s">
        <v>198</v>
      </c>
      <c r="D114" s="8">
        <v>8.2070000000000007</v>
      </c>
    </row>
    <row r="115" spans="1:4" ht="27" x14ac:dyDescent="0.3">
      <c r="A115" s="7" t="s">
        <v>428</v>
      </c>
      <c r="B115" s="18" t="s">
        <v>429</v>
      </c>
      <c r="C115" s="7" t="s">
        <v>405</v>
      </c>
      <c r="D115" s="8">
        <v>38.935000000000002</v>
      </c>
    </row>
    <row r="116" spans="1:4" ht="27" x14ac:dyDescent="0.3">
      <c r="A116" s="7" t="s">
        <v>430</v>
      </c>
      <c r="B116" s="18" t="s">
        <v>431</v>
      </c>
      <c r="C116" s="7" t="s">
        <v>432</v>
      </c>
      <c r="D116" s="8">
        <v>21.870999999999999</v>
      </c>
    </row>
    <row r="117" spans="1:4" ht="27" x14ac:dyDescent="0.3">
      <c r="A117" s="7" t="s">
        <v>433</v>
      </c>
      <c r="B117" s="18" t="s">
        <v>434</v>
      </c>
      <c r="C117" s="7" t="s">
        <v>198</v>
      </c>
      <c r="D117" s="8">
        <v>17.09</v>
      </c>
    </row>
    <row r="118" spans="1:4" x14ac:dyDescent="0.3">
      <c r="A118" s="7" t="s">
        <v>435</v>
      </c>
      <c r="B118" s="18" t="s">
        <v>436</v>
      </c>
      <c r="C118" s="7" t="s">
        <v>437</v>
      </c>
      <c r="D118" s="8">
        <v>633.40200000000004</v>
      </c>
    </row>
    <row r="119" spans="1:4" ht="27" x14ac:dyDescent="0.3">
      <c r="A119" s="7" t="s">
        <v>438</v>
      </c>
      <c r="B119" s="18" t="s">
        <v>439</v>
      </c>
      <c r="C119" s="7" t="s">
        <v>295</v>
      </c>
      <c r="D119" s="8">
        <v>5.6849999999999996</v>
      </c>
    </row>
    <row r="120" spans="1:4" x14ac:dyDescent="0.3">
      <c r="A120" s="7" t="s">
        <v>440</v>
      </c>
      <c r="B120" s="18" t="s">
        <v>441</v>
      </c>
      <c r="C120" s="7" t="s">
        <v>442</v>
      </c>
      <c r="D120" s="8">
        <v>1.1619999999999999</v>
      </c>
    </row>
    <row r="121" spans="1:4" ht="27" x14ac:dyDescent="0.3">
      <c r="A121" s="7" t="s">
        <v>443</v>
      </c>
      <c r="B121" s="18" t="s">
        <v>444</v>
      </c>
      <c r="C121" s="7" t="s">
        <v>445</v>
      </c>
      <c r="D121" s="8">
        <v>19.718</v>
      </c>
    </row>
    <row r="122" spans="1:4" ht="27" x14ac:dyDescent="0.3">
      <c r="A122" s="7" t="s">
        <v>446</v>
      </c>
      <c r="B122" s="18" t="s">
        <v>447</v>
      </c>
      <c r="C122" s="7" t="s">
        <v>318</v>
      </c>
      <c r="D122" s="8">
        <v>48.726999999999997</v>
      </c>
    </row>
    <row r="123" spans="1:4" ht="27" x14ac:dyDescent="0.3">
      <c r="A123" s="7" t="s">
        <v>448</v>
      </c>
      <c r="B123" s="18" t="s">
        <v>449</v>
      </c>
      <c r="C123" s="7" t="s">
        <v>199</v>
      </c>
      <c r="D123" s="8">
        <v>8.6389999999999993</v>
      </c>
    </row>
    <row r="124" spans="1:4" ht="27" x14ac:dyDescent="0.3">
      <c r="A124" s="7" t="s">
        <v>450</v>
      </c>
      <c r="B124" s="18" t="s">
        <v>451</v>
      </c>
      <c r="C124" s="7" t="s">
        <v>452</v>
      </c>
      <c r="D124" s="8">
        <v>9.2390000000000008</v>
      </c>
    </row>
    <row r="125" spans="1:4" x14ac:dyDescent="0.3">
      <c r="A125" s="7" t="s">
        <v>453</v>
      </c>
      <c r="B125" s="18" t="s">
        <v>454</v>
      </c>
      <c r="C125" s="7" t="s">
        <v>455</v>
      </c>
      <c r="D125" s="8">
        <v>3923.7820000000002</v>
      </c>
    </row>
    <row r="126" spans="1:4" ht="27" x14ac:dyDescent="0.3">
      <c r="A126" s="7" t="s">
        <v>456</v>
      </c>
      <c r="B126" s="18" t="s">
        <v>457</v>
      </c>
      <c r="C126" s="7" t="s">
        <v>458</v>
      </c>
      <c r="D126" s="8">
        <v>37.92</v>
      </c>
    </row>
    <row r="127" spans="1:4" ht="27" x14ac:dyDescent="0.3">
      <c r="A127" s="13" t="s">
        <v>459</v>
      </c>
      <c r="B127" s="18" t="s">
        <v>460</v>
      </c>
      <c r="C127" s="7" t="s">
        <v>461</v>
      </c>
      <c r="D127" s="8">
        <v>3284.7159999999999</v>
      </c>
    </row>
    <row r="128" spans="1:4" ht="27" x14ac:dyDescent="0.3">
      <c r="A128" s="7" t="s">
        <v>1563</v>
      </c>
      <c r="B128" s="18" t="s">
        <v>1564</v>
      </c>
      <c r="C128" s="7" t="s">
        <v>781</v>
      </c>
      <c r="D128" s="8">
        <v>1260.963</v>
      </c>
    </row>
    <row r="129" spans="1:4" ht="27" x14ac:dyDescent="0.3">
      <c r="A129" s="7" t="s">
        <v>462</v>
      </c>
      <c r="B129" s="18" t="s">
        <v>463</v>
      </c>
      <c r="C129" s="7" t="s">
        <v>464</v>
      </c>
      <c r="D129" s="8">
        <v>1129.154</v>
      </c>
    </row>
    <row r="130" spans="1:4" x14ac:dyDescent="0.3">
      <c r="A130" s="10" t="s">
        <v>465</v>
      </c>
      <c r="B130" s="18" t="s">
        <v>466</v>
      </c>
      <c r="C130" s="10" t="s">
        <v>200</v>
      </c>
      <c r="D130" s="8">
        <v>15.057</v>
      </c>
    </row>
    <row r="131" spans="1:4" x14ac:dyDescent="0.3">
      <c r="A131" s="7" t="s">
        <v>467</v>
      </c>
      <c r="B131" s="18" t="s">
        <v>468</v>
      </c>
      <c r="C131" s="7" t="s">
        <v>198</v>
      </c>
      <c r="D131" s="8">
        <v>0.29399999999999998</v>
      </c>
    </row>
    <row r="132" spans="1:4" ht="27" x14ac:dyDescent="0.3">
      <c r="A132" s="7" t="s">
        <v>469</v>
      </c>
      <c r="B132" s="18" t="s">
        <v>470</v>
      </c>
      <c r="C132" s="7" t="s">
        <v>452</v>
      </c>
      <c r="D132" s="8">
        <v>3.82</v>
      </c>
    </row>
    <row r="133" spans="1:4" ht="27" x14ac:dyDescent="0.3">
      <c r="A133" s="7" t="s">
        <v>471</v>
      </c>
      <c r="B133" s="18" t="s">
        <v>472</v>
      </c>
      <c r="C133" s="7" t="s">
        <v>452</v>
      </c>
      <c r="D133" s="8">
        <v>3.82</v>
      </c>
    </row>
    <row r="134" spans="1:4" x14ac:dyDescent="0.3">
      <c r="A134" s="7" t="s">
        <v>473</v>
      </c>
      <c r="B134" s="18" t="s">
        <v>474</v>
      </c>
      <c r="C134" s="7" t="s">
        <v>432</v>
      </c>
      <c r="D134" s="8">
        <v>10.564</v>
      </c>
    </row>
    <row r="135" spans="1:4" x14ac:dyDescent="0.3">
      <c r="A135" s="7" t="s">
        <v>475</v>
      </c>
      <c r="B135" s="18" t="s">
        <v>476</v>
      </c>
      <c r="C135" s="11" t="s">
        <v>452</v>
      </c>
      <c r="D135" s="8">
        <v>1.57</v>
      </c>
    </row>
    <row r="136" spans="1:4" x14ac:dyDescent="0.3">
      <c r="A136" s="7" t="s">
        <v>477</v>
      </c>
      <c r="B136" s="18" t="s">
        <v>478</v>
      </c>
      <c r="C136" s="11" t="s">
        <v>452</v>
      </c>
      <c r="D136" s="8">
        <v>1.57</v>
      </c>
    </row>
    <row r="137" spans="1:4" x14ac:dyDescent="0.3">
      <c r="A137" s="7" t="s">
        <v>479</v>
      </c>
      <c r="B137" s="18" t="s">
        <v>480</v>
      </c>
      <c r="C137" s="7" t="s">
        <v>198</v>
      </c>
      <c r="D137" s="8">
        <v>4.3029999999999999</v>
      </c>
    </row>
    <row r="138" spans="1:4" ht="27" x14ac:dyDescent="0.3">
      <c r="A138" s="7" t="s">
        <v>481</v>
      </c>
      <c r="B138" s="18" t="s">
        <v>482</v>
      </c>
      <c r="C138" s="7" t="s">
        <v>284</v>
      </c>
      <c r="D138" s="8">
        <v>7.91</v>
      </c>
    </row>
    <row r="139" spans="1:4" x14ac:dyDescent="0.3">
      <c r="A139" s="7" t="s">
        <v>483</v>
      </c>
      <c r="B139" s="18" t="s">
        <v>484</v>
      </c>
      <c r="C139" s="7" t="s">
        <v>198</v>
      </c>
      <c r="D139" s="8">
        <v>19.277999999999999</v>
      </c>
    </row>
    <row r="140" spans="1:4" ht="27" x14ac:dyDescent="0.3">
      <c r="A140" s="7" t="s">
        <v>485</v>
      </c>
      <c r="B140" s="18" t="s">
        <v>486</v>
      </c>
      <c r="C140" s="7" t="s">
        <v>200</v>
      </c>
      <c r="D140" s="8">
        <v>21.847000000000001</v>
      </c>
    </row>
    <row r="141" spans="1:4" ht="27" x14ac:dyDescent="0.3">
      <c r="A141" s="7" t="s">
        <v>487</v>
      </c>
      <c r="B141" s="18" t="s">
        <v>488</v>
      </c>
      <c r="C141" s="7" t="s">
        <v>311</v>
      </c>
      <c r="D141" s="8">
        <v>3.6110000000000002</v>
      </c>
    </row>
    <row r="142" spans="1:4" ht="27" x14ac:dyDescent="0.3">
      <c r="A142" s="7" t="s">
        <v>489</v>
      </c>
      <c r="B142" s="18" t="s">
        <v>490</v>
      </c>
      <c r="C142" s="7" t="s">
        <v>491</v>
      </c>
      <c r="D142" s="8">
        <v>6.2869999999999999</v>
      </c>
    </row>
    <row r="143" spans="1:4" ht="27" x14ac:dyDescent="0.3">
      <c r="A143" s="7" t="s">
        <v>492</v>
      </c>
      <c r="B143" s="18" t="s">
        <v>493</v>
      </c>
      <c r="C143" s="7" t="s">
        <v>494</v>
      </c>
      <c r="D143" s="8">
        <v>11.895</v>
      </c>
    </row>
    <row r="144" spans="1:4" ht="27" x14ac:dyDescent="0.3">
      <c r="A144" s="7" t="s">
        <v>495</v>
      </c>
      <c r="B144" s="18" t="s">
        <v>496</v>
      </c>
      <c r="C144" s="7" t="s">
        <v>198</v>
      </c>
      <c r="D144" s="8">
        <v>0.56000000000000005</v>
      </c>
    </row>
    <row r="145" spans="1:4" ht="27" x14ac:dyDescent="0.3">
      <c r="A145" s="7" t="s">
        <v>497</v>
      </c>
      <c r="B145" s="18" t="s">
        <v>498</v>
      </c>
      <c r="C145" s="7" t="s">
        <v>198</v>
      </c>
      <c r="D145" s="8">
        <v>0.03</v>
      </c>
    </row>
    <row r="146" spans="1:4" ht="27" x14ac:dyDescent="0.3">
      <c r="A146" s="7" t="s">
        <v>499</v>
      </c>
      <c r="B146" s="18" t="s">
        <v>500</v>
      </c>
      <c r="C146" s="7" t="s">
        <v>198</v>
      </c>
      <c r="D146" s="8">
        <v>0.122</v>
      </c>
    </row>
    <row r="147" spans="1:4" ht="27" x14ac:dyDescent="0.3">
      <c r="A147" s="7" t="s">
        <v>501</v>
      </c>
      <c r="B147" s="18" t="s">
        <v>502</v>
      </c>
      <c r="C147" s="7" t="s">
        <v>198</v>
      </c>
      <c r="D147" s="8">
        <v>54.445999999999998</v>
      </c>
    </row>
    <row r="148" spans="1:4" ht="27" x14ac:dyDescent="0.3">
      <c r="A148" s="7" t="s">
        <v>503</v>
      </c>
      <c r="B148" s="18" t="s">
        <v>504</v>
      </c>
      <c r="C148" s="7" t="s">
        <v>284</v>
      </c>
      <c r="D148" s="8">
        <v>14.138</v>
      </c>
    </row>
    <row r="149" spans="1:4" x14ac:dyDescent="0.3">
      <c r="A149" s="7" t="s">
        <v>505</v>
      </c>
      <c r="B149" s="18" t="s">
        <v>506</v>
      </c>
      <c r="C149" s="7" t="s">
        <v>396</v>
      </c>
      <c r="D149" s="8">
        <v>5.5810000000000004</v>
      </c>
    </row>
    <row r="150" spans="1:4" ht="27" x14ac:dyDescent="0.3">
      <c r="A150" s="7" t="s">
        <v>507</v>
      </c>
      <c r="B150" s="18" t="s">
        <v>508</v>
      </c>
      <c r="C150" s="7" t="s">
        <v>464</v>
      </c>
      <c r="D150" s="8">
        <v>3780.1930000000002</v>
      </c>
    </row>
    <row r="151" spans="1:4" ht="27" x14ac:dyDescent="0.3">
      <c r="A151" s="7" t="s">
        <v>509</v>
      </c>
      <c r="B151" s="18" t="s">
        <v>510</v>
      </c>
      <c r="C151" s="7" t="s">
        <v>209</v>
      </c>
      <c r="D151" s="8">
        <v>0.97699999999999998</v>
      </c>
    </row>
    <row r="152" spans="1:4" ht="27" x14ac:dyDescent="0.3">
      <c r="A152" s="7" t="s">
        <v>511</v>
      </c>
      <c r="B152" s="18" t="s">
        <v>512</v>
      </c>
      <c r="C152" s="7" t="s">
        <v>513</v>
      </c>
      <c r="D152" s="8">
        <v>3.1</v>
      </c>
    </row>
    <row r="153" spans="1:4" ht="27" x14ac:dyDescent="0.3">
      <c r="A153" s="7" t="s">
        <v>514</v>
      </c>
      <c r="B153" s="18" t="s">
        <v>515</v>
      </c>
      <c r="C153" s="7" t="s">
        <v>295</v>
      </c>
      <c r="D153" s="8">
        <v>197.523</v>
      </c>
    </row>
    <row r="154" spans="1:4" ht="27" x14ac:dyDescent="0.3">
      <c r="A154" s="7" t="s">
        <v>516</v>
      </c>
      <c r="B154" s="18" t="s">
        <v>517</v>
      </c>
      <c r="C154" s="7" t="s">
        <v>209</v>
      </c>
      <c r="D154" s="8">
        <v>0.89900000000000002</v>
      </c>
    </row>
    <row r="155" spans="1:4" ht="27" x14ac:dyDescent="0.3">
      <c r="A155" s="7" t="s">
        <v>518</v>
      </c>
      <c r="B155" s="18" t="s">
        <v>519</v>
      </c>
      <c r="C155" s="7" t="s">
        <v>284</v>
      </c>
      <c r="D155" s="8">
        <v>50.143000000000001</v>
      </c>
    </row>
    <row r="156" spans="1:4" ht="27" x14ac:dyDescent="0.3">
      <c r="A156" s="7" t="s">
        <v>520</v>
      </c>
      <c r="B156" s="18" t="s">
        <v>521</v>
      </c>
      <c r="C156" s="7" t="s">
        <v>522</v>
      </c>
      <c r="D156" s="8">
        <v>616.78499999999997</v>
      </c>
    </row>
    <row r="157" spans="1:4" x14ac:dyDescent="0.3">
      <c r="A157" s="7" t="s">
        <v>523</v>
      </c>
      <c r="B157" s="18" t="s">
        <v>524</v>
      </c>
      <c r="C157" s="7" t="s">
        <v>199</v>
      </c>
      <c r="D157" s="8">
        <v>16.974</v>
      </c>
    </row>
    <row r="158" spans="1:4" ht="27" x14ac:dyDescent="0.3">
      <c r="A158" s="7" t="s">
        <v>525</v>
      </c>
      <c r="B158" s="18" t="s">
        <v>526</v>
      </c>
      <c r="C158" s="7" t="s">
        <v>209</v>
      </c>
      <c r="D158" s="8">
        <v>6.9290000000000003</v>
      </c>
    </row>
    <row r="159" spans="1:4" x14ac:dyDescent="0.3">
      <c r="A159" s="7" t="s">
        <v>527</v>
      </c>
      <c r="B159" s="18" t="s">
        <v>528</v>
      </c>
      <c r="C159" s="7" t="s">
        <v>199</v>
      </c>
      <c r="D159" s="8">
        <v>2.9860000000000002</v>
      </c>
    </row>
    <row r="160" spans="1:4" ht="27" x14ac:dyDescent="0.3">
      <c r="A160" s="7" t="s">
        <v>529</v>
      </c>
      <c r="B160" s="18" t="s">
        <v>530</v>
      </c>
      <c r="C160" s="7" t="s">
        <v>295</v>
      </c>
      <c r="D160" s="8">
        <v>6.0819999999999999</v>
      </c>
    </row>
    <row r="161" spans="1:4" x14ac:dyDescent="0.3">
      <c r="A161" s="7" t="s">
        <v>531</v>
      </c>
      <c r="B161" s="18" t="s">
        <v>532</v>
      </c>
      <c r="C161" s="7" t="s">
        <v>491</v>
      </c>
      <c r="D161" s="8">
        <v>0.72299999999999998</v>
      </c>
    </row>
    <row r="162" spans="1:4" ht="27" x14ac:dyDescent="0.3">
      <c r="A162" s="7" t="s">
        <v>533</v>
      </c>
      <c r="B162" s="18" t="s">
        <v>534</v>
      </c>
      <c r="C162" s="7" t="s">
        <v>452</v>
      </c>
      <c r="D162" s="8">
        <v>0.375</v>
      </c>
    </row>
    <row r="163" spans="1:4" x14ac:dyDescent="0.3">
      <c r="A163" s="7" t="s">
        <v>535</v>
      </c>
      <c r="B163" s="18" t="s">
        <v>536</v>
      </c>
      <c r="C163" s="7" t="s">
        <v>198</v>
      </c>
      <c r="D163" s="8">
        <v>497.053</v>
      </c>
    </row>
    <row r="164" spans="1:4" x14ac:dyDescent="0.3">
      <c r="A164" s="7" t="s">
        <v>537</v>
      </c>
      <c r="B164" s="18" t="s">
        <v>538</v>
      </c>
      <c r="C164" s="7" t="s">
        <v>199</v>
      </c>
      <c r="D164" s="8">
        <v>230.47900000000001</v>
      </c>
    </row>
    <row r="165" spans="1:4" ht="27" x14ac:dyDescent="0.3">
      <c r="A165" s="7" t="s">
        <v>539</v>
      </c>
      <c r="B165" s="18" t="s">
        <v>540</v>
      </c>
      <c r="C165" s="7" t="s">
        <v>198</v>
      </c>
      <c r="D165" s="8">
        <v>19.486000000000001</v>
      </c>
    </row>
    <row r="166" spans="1:4" ht="27" x14ac:dyDescent="0.3">
      <c r="A166" s="7" t="s">
        <v>1565</v>
      </c>
      <c r="B166" s="18" t="s">
        <v>1566</v>
      </c>
      <c r="C166" s="7" t="s">
        <v>199</v>
      </c>
      <c r="D166" s="8">
        <v>226.27500000000001</v>
      </c>
    </row>
    <row r="167" spans="1:4" ht="27" x14ac:dyDescent="0.3">
      <c r="A167" s="7" t="s">
        <v>541</v>
      </c>
      <c r="B167" s="18" t="s">
        <v>542</v>
      </c>
      <c r="C167" s="7" t="s">
        <v>198</v>
      </c>
      <c r="D167" s="8">
        <v>241.417</v>
      </c>
    </row>
    <row r="168" spans="1:4" x14ac:dyDescent="0.3">
      <c r="A168" s="7" t="s">
        <v>543</v>
      </c>
      <c r="B168" s="18" t="s">
        <v>544</v>
      </c>
      <c r="C168" s="7" t="s">
        <v>396</v>
      </c>
      <c r="D168" s="8">
        <v>16.161999999999999</v>
      </c>
    </row>
    <row r="169" spans="1:4" x14ac:dyDescent="0.3">
      <c r="A169" s="7" t="s">
        <v>545</v>
      </c>
      <c r="B169" s="18" t="s">
        <v>546</v>
      </c>
      <c r="C169" s="7" t="s">
        <v>284</v>
      </c>
      <c r="D169" s="8">
        <v>38.698999999999998</v>
      </c>
    </row>
    <row r="170" spans="1:4" ht="27" x14ac:dyDescent="0.3">
      <c r="A170" s="7" t="s">
        <v>547</v>
      </c>
      <c r="B170" s="18" t="s">
        <v>548</v>
      </c>
      <c r="C170" s="7" t="s">
        <v>284</v>
      </c>
      <c r="D170" s="8">
        <v>75.23</v>
      </c>
    </row>
    <row r="171" spans="1:4" ht="27" x14ac:dyDescent="0.3">
      <c r="A171" s="7" t="s">
        <v>549</v>
      </c>
      <c r="B171" s="18" t="s">
        <v>550</v>
      </c>
      <c r="C171" s="7" t="s">
        <v>199</v>
      </c>
      <c r="D171" s="8">
        <v>8.4239999999999995</v>
      </c>
    </row>
    <row r="172" spans="1:4" ht="27" x14ac:dyDescent="0.3">
      <c r="A172" s="7" t="s">
        <v>551</v>
      </c>
      <c r="B172" s="18" t="s">
        <v>552</v>
      </c>
      <c r="C172" s="7" t="s">
        <v>553</v>
      </c>
      <c r="D172" s="8">
        <v>308.70400000000001</v>
      </c>
    </row>
    <row r="173" spans="1:4" ht="27" x14ac:dyDescent="0.3">
      <c r="A173" s="7" t="s">
        <v>554</v>
      </c>
      <c r="B173" s="18" t="s">
        <v>555</v>
      </c>
      <c r="C173" s="7" t="s">
        <v>257</v>
      </c>
      <c r="D173" s="8">
        <v>444.09899999999999</v>
      </c>
    </row>
    <row r="174" spans="1:4" ht="27" x14ac:dyDescent="0.3">
      <c r="A174" s="7" t="s">
        <v>556</v>
      </c>
      <c r="B174" s="18" t="s">
        <v>557</v>
      </c>
      <c r="C174" s="7" t="s">
        <v>198</v>
      </c>
      <c r="D174" s="8">
        <v>1.105</v>
      </c>
    </row>
    <row r="175" spans="1:4" ht="27" x14ac:dyDescent="0.3">
      <c r="A175" s="7" t="s">
        <v>558</v>
      </c>
      <c r="B175" s="18" t="s">
        <v>559</v>
      </c>
      <c r="C175" s="7" t="s">
        <v>452</v>
      </c>
      <c r="D175" s="8">
        <v>0.95499999999999996</v>
      </c>
    </row>
    <row r="176" spans="1:4" ht="27" x14ac:dyDescent="0.3">
      <c r="A176" s="7" t="s">
        <v>560</v>
      </c>
      <c r="B176" s="18" t="s">
        <v>561</v>
      </c>
      <c r="C176" s="7" t="s">
        <v>452</v>
      </c>
      <c r="D176" s="8">
        <v>0.53</v>
      </c>
    </row>
    <row r="177" spans="1:4" x14ac:dyDescent="0.3">
      <c r="A177" s="7" t="s">
        <v>562</v>
      </c>
      <c r="B177" s="18" t="s">
        <v>563</v>
      </c>
      <c r="C177" s="7" t="s">
        <v>442</v>
      </c>
      <c r="D177" s="8">
        <v>4.6820000000000004</v>
      </c>
    </row>
    <row r="178" spans="1:4" x14ac:dyDescent="0.3">
      <c r="A178" s="7" t="s">
        <v>564</v>
      </c>
      <c r="B178" s="18" t="s">
        <v>565</v>
      </c>
      <c r="C178" s="7" t="s">
        <v>198</v>
      </c>
      <c r="D178" s="8">
        <v>1.9801721631002975</v>
      </c>
    </row>
    <row r="179" spans="1:4" ht="27" x14ac:dyDescent="0.3">
      <c r="A179" s="10" t="s">
        <v>566</v>
      </c>
      <c r="B179" s="18" t="s">
        <v>567</v>
      </c>
      <c r="C179" s="10" t="s">
        <v>458</v>
      </c>
      <c r="D179" s="8">
        <v>301.87299999999999</v>
      </c>
    </row>
    <row r="180" spans="1:4" x14ac:dyDescent="0.3">
      <c r="A180" s="7" t="s">
        <v>568</v>
      </c>
      <c r="B180" s="18" t="s">
        <v>569</v>
      </c>
      <c r="C180" s="7" t="s">
        <v>198</v>
      </c>
      <c r="D180" s="8">
        <v>397.86</v>
      </c>
    </row>
    <row r="181" spans="1:4" x14ac:dyDescent="0.3">
      <c r="A181" s="7" t="s">
        <v>570</v>
      </c>
      <c r="B181" s="18" t="s">
        <v>571</v>
      </c>
      <c r="C181" s="7" t="s">
        <v>284</v>
      </c>
      <c r="D181" s="8">
        <v>40.844000000000001</v>
      </c>
    </row>
    <row r="182" spans="1:4" ht="27" x14ac:dyDescent="0.3">
      <c r="A182" s="7" t="s">
        <v>572</v>
      </c>
      <c r="B182" s="18" t="s">
        <v>573</v>
      </c>
      <c r="C182" s="7" t="s">
        <v>574</v>
      </c>
      <c r="D182" s="8">
        <v>40.853999999999999</v>
      </c>
    </row>
    <row r="183" spans="1:4" x14ac:dyDescent="0.3">
      <c r="A183" s="7" t="s">
        <v>575</v>
      </c>
      <c r="B183" s="18" t="s">
        <v>576</v>
      </c>
      <c r="C183" s="7" t="s">
        <v>257</v>
      </c>
      <c r="D183" s="8">
        <v>14.01</v>
      </c>
    </row>
    <row r="184" spans="1:4" ht="27" x14ac:dyDescent="0.3">
      <c r="A184" s="10" t="s">
        <v>577</v>
      </c>
      <c r="B184" s="18" t="s">
        <v>578</v>
      </c>
      <c r="C184" s="10" t="s">
        <v>284</v>
      </c>
      <c r="D184" s="8">
        <v>69.08</v>
      </c>
    </row>
    <row r="185" spans="1:4" x14ac:dyDescent="0.3">
      <c r="A185" s="7" t="s">
        <v>579</v>
      </c>
      <c r="B185" s="18" t="s">
        <v>580</v>
      </c>
      <c r="C185" s="7" t="s">
        <v>284</v>
      </c>
      <c r="D185" s="8">
        <v>46.225999999999999</v>
      </c>
    </row>
    <row r="186" spans="1:4" x14ac:dyDescent="0.3">
      <c r="A186" s="7" t="s">
        <v>581</v>
      </c>
      <c r="B186" s="18" t="s">
        <v>582</v>
      </c>
      <c r="C186" s="7" t="s">
        <v>257</v>
      </c>
      <c r="D186" s="8">
        <v>10.494999999999999</v>
      </c>
    </row>
    <row r="187" spans="1:4" ht="27" x14ac:dyDescent="0.3">
      <c r="A187" s="7" t="s">
        <v>583</v>
      </c>
      <c r="B187" s="18" t="s">
        <v>584</v>
      </c>
      <c r="C187" s="7" t="s">
        <v>585</v>
      </c>
      <c r="D187" s="8">
        <v>408.54199999999997</v>
      </c>
    </row>
    <row r="188" spans="1:4" x14ac:dyDescent="0.3">
      <c r="A188" s="7" t="s">
        <v>586</v>
      </c>
      <c r="B188" s="18" t="s">
        <v>587</v>
      </c>
      <c r="C188" s="7" t="s">
        <v>284</v>
      </c>
      <c r="D188" s="8">
        <v>40.347000000000001</v>
      </c>
    </row>
    <row r="189" spans="1:4" ht="27" x14ac:dyDescent="0.3">
      <c r="A189" s="7" t="s">
        <v>588</v>
      </c>
      <c r="B189" s="18" t="s">
        <v>589</v>
      </c>
      <c r="C189" s="7" t="s">
        <v>284</v>
      </c>
      <c r="D189" s="8">
        <v>63.188000000000002</v>
      </c>
    </row>
    <row r="190" spans="1:4" x14ac:dyDescent="0.3">
      <c r="A190" s="7" t="s">
        <v>590</v>
      </c>
      <c r="B190" s="18" t="s">
        <v>591</v>
      </c>
      <c r="C190" s="7" t="s">
        <v>284</v>
      </c>
      <c r="D190" s="8">
        <v>38.216000000000001</v>
      </c>
    </row>
    <row r="191" spans="1:4" ht="27" x14ac:dyDescent="0.3">
      <c r="A191" s="7" t="s">
        <v>592</v>
      </c>
      <c r="B191" s="18" t="s">
        <v>593</v>
      </c>
      <c r="C191" s="7" t="s">
        <v>284</v>
      </c>
      <c r="D191" s="8">
        <v>39.920999999999999</v>
      </c>
    </row>
    <row r="192" spans="1:4" ht="27" x14ac:dyDescent="0.3">
      <c r="A192" s="7" t="s">
        <v>594</v>
      </c>
      <c r="B192" s="18" t="s">
        <v>595</v>
      </c>
      <c r="C192" s="7" t="s">
        <v>284</v>
      </c>
      <c r="D192" s="8">
        <v>34.643000000000001</v>
      </c>
    </row>
    <row r="193" spans="1:4" x14ac:dyDescent="0.3">
      <c r="A193" s="7" t="s">
        <v>596</v>
      </c>
      <c r="B193" s="18" t="s">
        <v>597</v>
      </c>
      <c r="C193" s="7" t="s">
        <v>216</v>
      </c>
      <c r="D193" s="8">
        <v>58.960999999999999</v>
      </c>
    </row>
    <row r="194" spans="1:4" x14ac:dyDescent="0.3">
      <c r="A194" s="7" t="s">
        <v>598</v>
      </c>
      <c r="B194" s="18" t="s">
        <v>599</v>
      </c>
      <c r="C194" s="7" t="s">
        <v>284</v>
      </c>
      <c r="D194" s="8">
        <v>35.773000000000003</v>
      </c>
    </row>
    <row r="195" spans="1:4" ht="27" x14ac:dyDescent="0.3">
      <c r="A195" s="10" t="s">
        <v>600</v>
      </c>
      <c r="B195" s="18" t="s">
        <v>601</v>
      </c>
      <c r="C195" s="10" t="s">
        <v>257</v>
      </c>
      <c r="D195" s="8">
        <v>14.635</v>
      </c>
    </row>
    <row r="196" spans="1:4" ht="27" x14ac:dyDescent="0.3">
      <c r="A196" s="7" t="s">
        <v>602</v>
      </c>
      <c r="B196" s="18" t="s">
        <v>603</v>
      </c>
      <c r="C196" s="7" t="s">
        <v>494</v>
      </c>
      <c r="D196" s="8">
        <v>1.972</v>
      </c>
    </row>
    <row r="197" spans="1:4" ht="27" x14ac:dyDescent="0.3">
      <c r="A197" s="7" t="s">
        <v>604</v>
      </c>
      <c r="B197" s="18" t="s">
        <v>605</v>
      </c>
      <c r="C197" s="7" t="s">
        <v>198</v>
      </c>
      <c r="D197" s="8">
        <v>20.658999999999999</v>
      </c>
    </row>
    <row r="198" spans="1:4" ht="27" x14ac:dyDescent="0.3">
      <c r="A198" s="7" t="s">
        <v>606</v>
      </c>
      <c r="B198" s="18" t="s">
        <v>607</v>
      </c>
      <c r="C198" s="7" t="s">
        <v>198</v>
      </c>
      <c r="D198" s="8">
        <v>217.56399999999999</v>
      </c>
    </row>
    <row r="199" spans="1:4" ht="27" x14ac:dyDescent="0.3">
      <c r="A199" s="7" t="s">
        <v>608</v>
      </c>
      <c r="B199" s="18" t="s">
        <v>609</v>
      </c>
      <c r="C199" s="7" t="s">
        <v>610</v>
      </c>
      <c r="D199" s="8">
        <v>0.23699999999999999</v>
      </c>
    </row>
    <row r="200" spans="1:4" ht="27" x14ac:dyDescent="0.3">
      <c r="A200" s="7" t="s">
        <v>611</v>
      </c>
      <c r="B200" s="18" t="s">
        <v>612</v>
      </c>
      <c r="C200" s="7" t="s">
        <v>273</v>
      </c>
      <c r="D200" s="8">
        <v>1.645</v>
      </c>
    </row>
    <row r="201" spans="1:4" x14ac:dyDescent="0.3">
      <c r="A201" s="7" t="s">
        <v>613</v>
      </c>
      <c r="B201" s="18" t="s">
        <v>614</v>
      </c>
      <c r="C201" s="7" t="s">
        <v>200</v>
      </c>
      <c r="D201" s="8">
        <v>1.2050000000000001</v>
      </c>
    </row>
    <row r="202" spans="1:4" ht="27" x14ac:dyDescent="0.3">
      <c r="A202" s="7" t="s">
        <v>615</v>
      </c>
      <c r="B202" s="18" t="s">
        <v>616</v>
      </c>
      <c r="C202" s="7" t="s">
        <v>209</v>
      </c>
      <c r="D202" s="8">
        <v>16.279</v>
      </c>
    </row>
    <row r="203" spans="1:4" x14ac:dyDescent="0.3">
      <c r="A203" s="7" t="s">
        <v>617</v>
      </c>
      <c r="B203" s="18" t="s">
        <v>618</v>
      </c>
      <c r="C203" s="7" t="s">
        <v>198</v>
      </c>
      <c r="D203" s="8">
        <v>23.719000000000001</v>
      </c>
    </row>
    <row r="204" spans="1:4" ht="27" x14ac:dyDescent="0.3">
      <c r="A204" s="7" t="s">
        <v>619</v>
      </c>
      <c r="B204" s="18" t="s">
        <v>620</v>
      </c>
      <c r="C204" s="7" t="s">
        <v>371</v>
      </c>
      <c r="D204" s="8">
        <v>0.32400000000000001</v>
      </c>
    </row>
    <row r="205" spans="1:4" ht="27" x14ac:dyDescent="0.3">
      <c r="A205" s="7" t="s">
        <v>621</v>
      </c>
      <c r="B205" s="18" t="s">
        <v>622</v>
      </c>
      <c r="C205" s="7" t="s">
        <v>432</v>
      </c>
      <c r="D205" s="8">
        <v>0.24</v>
      </c>
    </row>
    <row r="206" spans="1:4" x14ac:dyDescent="0.3">
      <c r="A206" s="7" t="s">
        <v>623</v>
      </c>
      <c r="B206" s="18" t="s">
        <v>624</v>
      </c>
      <c r="C206" s="7" t="s">
        <v>625</v>
      </c>
      <c r="D206" s="8">
        <v>12.574</v>
      </c>
    </row>
    <row r="207" spans="1:4" x14ac:dyDescent="0.3">
      <c r="A207" s="7" t="s">
        <v>626</v>
      </c>
      <c r="B207" s="18" t="s">
        <v>627</v>
      </c>
      <c r="C207" s="7" t="s">
        <v>199</v>
      </c>
      <c r="D207" s="8">
        <v>0.67200000000000004</v>
      </c>
    </row>
    <row r="208" spans="1:4" x14ac:dyDescent="0.3">
      <c r="A208" s="7" t="s">
        <v>628</v>
      </c>
      <c r="B208" s="18" t="s">
        <v>629</v>
      </c>
      <c r="C208" s="7" t="s">
        <v>396</v>
      </c>
      <c r="D208" s="8">
        <v>1.516</v>
      </c>
    </row>
    <row r="209" spans="1:4" ht="27" x14ac:dyDescent="0.3">
      <c r="A209" s="7" t="s">
        <v>630</v>
      </c>
      <c r="B209" s="18" t="s">
        <v>631</v>
      </c>
      <c r="C209" s="7" t="s">
        <v>632</v>
      </c>
      <c r="D209" s="8">
        <v>462.988</v>
      </c>
    </row>
    <row r="210" spans="1:4" ht="27" x14ac:dyDescent="0.3">
      <c r="A210" s="7" t="s">
        <v>633</v>
      </c>
      <c r="B210" s="18" t="s">
        <v>634</v>
      </c>
      <c r="C210" s="7" t="s">
        <v>257</v>
      </c>
      <c r="D210" s="8">
        <v>13.05</v>
      </c>
    </row>
    <row r="211" spans="1:4" ht="27" x14ac:dyDescent="0.3">
      <c r="A211" s="7" t="s">
        <v>635</v>
      </c>
      <c r="B211" s="18" t="s">
        <v>636</v>
      </c>
      <c r="C211" s="7" t="s">
        <v>198</v>
      </c>
      <c r="D211" s="8">
        <v>44.27</v>
      </c>
    </row>
    <row r="212" spans="1:4" ht="27" x14ac:dyDescent="0.3">
      <c r="A212" s="7" t="s">
        <v>637</v>
      </c>
      <c r="B212" s="18" t="s">
        <v>638</v>
      </c>
      <c r="C212" s="7" t="s">
        <v>198</v>
      </c>
      <c r="D212" s="8">
        <v>258.21499999999997</v>
      </c>
    </row>
    <row r="213" spans="1:4" x14ac:dyDescent="0.3">
      <c r="A213" s="7" t="s">
        <v>639</v>
      </c>
      <c r="B213" s="18" t="s">
        <v>640</v>
      </c>
      <c r="C213" s="7" t="s">
        <v>198</v>
      </c>
      <c r="D213" s="8">
        <v>542.89</v>
      </c>
    </row>
    <row r="214" spans="1:4" ht="27" x14ac:dyDescent="0.3">
      <c r="A214" s="7" t="s">
        <v>641</v>
      </c>
      <c r="B214" s="18" t="s">
        <v>642</v>
      </c>
      <c r="C214" s="7" t="s">
        <v>199</v>
      </c>
      <c r="D214" s="8">
        <v>57.345999999999997</v>
      </c>
    </row>
    <row r="215" spans="1:4" ht="27" x14ac:dyDescent="0.3">
      <c r="A215" s="7" t="s">
        <v>1567</v>
      </c>
      <c r="B215" s="18" t="s">
        <v>1568</v>
      </c>
      <c r="C215" s="7" t="s">
        <v>199</v>
      </c>
      <c r="D215" s="8">
        <v>58.377000000000002</v>
      </c>
    </row>
    <row r="216" spans="1:4" x14ac:dyDescent="0.3">
      <c r="A216" s="7" t="s">
        <v>643</v>
      </c>
      <c r="B216" s="18" t="s">
        <v>644</v>
      </c>
      <c r="C216" s="7" t="s">
        <v>209</v>
      </c>
      <c r="D216" s="8">
        <v>14.38</v>
      </c>
    </row>
    <row r="217" spans="1:4" x14ac:dyDescent="0.3">
      <c r="A217" s="7" t="s">
        <v>645</v>
      </c>
      <c r="B217" s="18" t="s">
        <v>646</v>
      </c>
      <c r="C217" s="7" t="s">
        <v>198</v>
      </c>
      <c r="D217" s="8">
        <v>0.21099999999999999</v>
      </c>
    </row>
    <row r="218" spans="1:4" x14ac:dyDescent="0.3">
      <c r="A218" s="7" t="s">
        <v>647</v>
      </c>
      <c r="B218" s="18" t="s">
        <v>648</v>
      </c>
      <c r="C218" s="7" t="s">
        <v>371</v>
      </c>
      <c r="D218" s="8">
        <v>42.636000000000003</v>
      </c>
    </row>
    <row r="219" spans="1:4" x14ac:dyDescent="0.3">
      <c r="A219" s="7" t="s">
        <v>649</v>
      </c>
      <c r="B219" s="18" t="s">
        <v>650</v>
      </c>
      <c r="C219" s="7" t="s">
        <v>198</v>
      </c>
      <c r="D219" s="8">
        <v>1.8779999999999999</v>
      </c>
    </row>
    <row r="220" spans="1:4" x14ac:dyDescent="0.3">
      <c r="A220" s="7" t="s">
        <v>651</v>
      </c>
      <c r="B220" s="18" t="s">
        <v>652</v>
      </c>
      <c r="C220" s="7" t="s">
        <v>653</v>
      </c>
      <c r="D220" s="8">
        <v>0.89900000000000002</v>
      </c>
    </row>
    <row r="221" spans="1:4" ht="27" x14ac:dyDescent="0.3">
      <c r="A221" s="7" t="s">
        <v>654</v>
      </c>
      <c r="B221" s="18" t="s">
        <v>655</v>
      </c>
      <c r="C221" s="7" t="s">
        <v>656</v>
      </c>
      <c r="D221" s="8">
        <v>10.776999999999999</v>
      </c>
    </row>
    <row r="222" spans="1:4" ht="27" x14ac:dyDescent="0.3">
      <c r="A222" s="7" t="s">
        <v>657</v>
      </c>
      <c r="B222" s="18" t="s">
        <v>658</v>
      </c>
      <c r="C222" s="7" t="s">
        <v>659</v>
      </c>
      <c r="D222" s="8">
        <v>0.51900000000000002</v>
      </c>
    </row>
    <row r="223" spans="1:4" x14ac:dyDescent="0.3">
      <c r="A223" s="7" t="s">
        <v>660</v>
      </c>
      <c r="B223" s="18" t="s">
        <v>661</v>
      </c>
      <c r="C223" s="7" t="s">
        <v>198</v>
      </c>
      <c r="D223" s="8">
        <v>63.654000000000003</v>
      </c>
    </row>
    <row r="224" spans="1:4" x14ac:dyDescent="0.3">
      <c r="A224" s="7" t="s">
        <v>662</v>
      </c>
      <c r="B224" s="18" t="s">
        <v>663</v>
      </c>
      <c r="C224" s="7" t="s">
        <v>273</v>
      </c>
      <c r="D224" s="8">
        <v>32.15</v>
      </c>
    </row>
    <row r="225" spans="1:4" x14ac:dyDescent="0.3">
      <c r="A225" s="7" t="s">
        <v>664</v>
      </c>
      <c r="B225" s="18" t="s">
        <v>665</v>
      </c>
      <c r="C225" s="7" t="s">
        <v>311</v>
      </c>
      <c r="D225" s="8">
        <v>0.59399999999999997</v>
      </c>
    </row>
    <row r="226" spans="1:4" ht="27" x14ac:dyDescent="0.3">
      <c r="A226" s="7" t="s">
        <v>1569</v>
      </c>
      <c r="B226" s="18" t="s">
        <v>1570</v>
      </c>
      <c r="C226" s="7" t="s">
        <v>198</v>
      </c>
      <c r="D226" s="8">
        <v>2.774</v>
      </c>
    </row>
    <row r="227" spans="1:4" ht="27" x14ac:dyDescent="0.3">
      <c r="A227" s="10" t="s">
        <v>1571</v>
      </c>
      <c r="B227" s="18" t="s">
        <v>1572</v>
      </c>
      <c r="C227" s="16" t="s">
        <v>198</v>
      </c>
      <c r="D227" s="8">
        <v>2.734</v>
      </c>
    </row>
    <row r="228" spans="1:4" ht="27" x14ac:dyDescent="0.3">
      <c r="A228" s="7" t="s">
        <v>668</v>
      </c>
      <c r="B228" s="18" t="s">
        <v>669</v>
      </c>
      <c r="C228" s="7" t="s">
        <v>670</v>
      </c>
      <c r="D228" s="8">
        <v>1271.1010000000001</v>
      </c>
    </row>
    <row r="229" spans="1:4" x14ac:dyDescent="0.3">
      <c r="A229" s="7" t="s">
        <v>671</v>
      </c>
      <c r="B229" s="18" t="s">
        <v>672</v>
      </c>
      <c r="C229" s="7" t="s">
        <v>199</v>
      </c>
      <c r="D229" s="8">
        <v>0.10199999999999999</v>
      </c>
    </row>
    <row r="230" spans="1:4" ht="27" x14ac:dyDescent="0.3">
      <c r="A230" s="7" t="s">
        <v>673</v>
      </c>
      <c r="B230" s="18" t="s">
        <v>674</v>
      </c>
      <c r="C230" s="7" t="s">
        <v>405</v>
      </c>
      <c r="D230" s="8">
        <v>19.815999999999999</v>
      </c>
    </row>
    <row r="231" spans="1:4" x14ac:dyDescent="0.3">
      <c r="A231" s="7" t="s">
        <v>675</v>
      </c>
      <c r="B231" s="18" t="s">
        <v>676</v>
      </c>
      <c r="C231" s="7" t="s">
        <v>295</v>
      </c>
      <c r="D231" s="8">
        <v>0.66400000000000003</v>
      </c>
    </row>
    <row r="232" spans="1:4" ht="27" x14ac:dyDescent="0.3">
      <c r="A232" s="7" t="s">
        <v>677</v>
      </c>
      <c r="B232" s="18" t="s">
        <v>678</v>
      </c>
      <c r="C232" s="7" t="s">
        <v>458</v>
      </c>
      <c r="D232" s="8">
        <v>31.595420000000001</v>
      </c>
    </row>
    <row r="233" spans="1:4" x14ac:dyDescent="0.3">
      <c r="A233" s="7" t="s">
        <v>679</v>
      </c>
      <c r="B233" s="18" t="s">
        <v>680</v>
      </c>
      <c r="C233" s="7" t="s">
        <v>199</v>
      </c>
      <c r="D233" s="8">
        <v>2.8000000000000001E-2</v>
      </c>
    </row>
    <row r="234" spans="1:4" x14ac:dyDescent="0.3">
      <c r="A234" s="7" t="s">
        <v>681</v>
      </c>
      <c r="B234" s="18" t="s">
        <v>682</v>
      </c>
      <c r="C234" s="7" t="s">
        <v>683</v>
      </c>
      <c r="D234" s="8">
        <v>13.356999999999999</v>
      </c>
    </row>
    <row r="235" spans="1:4" x14ac:dyDescent="0.3">
      <c r="A235" s="7" t="s">
        <v>684</v>
      </c>
      <c r="B235" s="18" t="s">
        <v>685</v>
      </c>
      <c r="C235" s="7" t="s">
        <v>442</v>
      </c>
      <c r="D235" s="8">
        <v>5.5549999999999997</v>
      </c>
    </row>
    <row r="236" spans="1:4" x14ac:dyDescent="0.3">
      <c r="A236" s="7" t="s">
        <v>686</v>
      </c>
      <c r="B236" s="18" t="s">
        <v>687</v>
      </c>
      <c r="C236" s="7" t="s">
        <v>688</v>
      </c>
      <c r="D236" s="8">
        <v>0.70099999999999996</v>
      </c>
    </row>
    <row r="237" spans="1:4" x14ac:dyDescent="0.3">
      <c r="A237" s="7" t="s">
        <v>689</v>
      </c>
      <c r="B237" s="18" t="s">
        <v>690</v>
      </c>
      <c r="C237" s="7" t="s">
        <v>522</v>
      </c>
      <c r="D237" s="8">
        <v>2.0219999999999998</v>
      </c>
    </row>
    <row r="238" spans="1:4" ht="27" x14ac:dyDescent="0.3">
      <c r="A238" s="7" t="s">
        <v>691</v>
      </c>
      <c r="B238" s="18" t="s">
        <v>692</v>
      </c>
      <c r="C238" s="7" t="s">
        <v>257</v>
      </c>
      <c r="D238" s="8">
        <v>4.7229999999999999</v>
      </c>
    </row>
    <row r="239" spans="1:4" ht="27" x14ac:dyDescent="0.3">
      <c r="A239" s="7" t="s">
        <v>693</v>
      </c>
      <c r="B239" s="18" t="s">
        <v>694</v>
      </c>
      <c r="C239" s="10" t="s">
        <v>198</v>
      </c>
      <c r="D239" s="8">
        <v>29.289000000000001</v>
      </c>
    </row>
    <row r="240" spans="1:4" x14ac:dyDescent="0.3">
      <c r="A240" s="7" t="s">
        <v>695</v>
      </c>
      <c r="B240" s="18" t="s">
        <v>696</v>
      </c>
      <c r="C240" s="7" t="s">
        <v>257</v>
      </c>
      <c r="D240" s="8">
        <v>0.79700000000000004</v>
      </c>
    </row>
    <row r="241" spans="1:4" ht="27" x14ac:dyDescent="0.3">
      <c r="A241" s="7" t="s">
        <v>697</v>
      </c>
      <c r="B241" s="18" t="s">
        <v>698</v>
      </c>
      <c r="C241" s="7" t="s">
        <v>699</v>
      </c>
      <c r="D241" s="8">
        <v>18.042999999999999</v>
      </c>
    </row>
    <row r="242" spans="1:4" ht="27" x14ac:dyDescent="0.3">
      <c r="A242" s="7" t="s">
        <v>700</v>
      </c>
      <c r="B242" s="18" t="s">
        <v>701</v>
      </c>
      <c r="C242" s="7" t="s">
        <v>198</v>
      </c>
      <c r="D242" s="8">
        <v>1.0569999999999999</v>
      </c>
    </row>
    <row r="243" spans="1:4" ht="27" x14ac:dyDescent="0.3">
      <c r="A243" s="7" t="s">
        <v>702</v>
      </c>
      <c r="B243" s="18" t="s">
        <v>703</v>
      </c>
      <c r="C243" s="7" t="s">
        <v>198</v>
      </c>
      <c r="D243" s="8">
        <v>0.121</v>
      </c>
    </row>
    <row r="244" spans="1:4" ht="27" x14ac:dyDescent="0.3">
      <c r="A244" s="10" t="s">
        <v>704</v>
      </c>
      <c r="B244" s="18" t="s">
        <v>705</v>
      </c>
      <c r="C244" s="16" t="s">
        <v>200</v>
      </c>
      <c r="D244" s="8">
        <v>1.5249999999999999</v>
      </c>
    </row>
    <row r="245" spans="1:4" ht="27" x14ac:dyDescent="0.3">
      <c r="A245" s="7" t="s">
        <v>706</v>
      </c>
      <c r="B245" s="18" t="s">
        <v>707</v>
      </c>
      <c r="C245" s="7" t="s">
        <v>199</v>
      </c>
      <c r="D245" s="8">
        <v>2.0289999999999999</v>
      </c>
    </row>
    <row r="246" spans="1:4" ht="27" x14ac:dyDescent="0.3">
      <c r="A246" s="10" t="s">
        <v>708</v>
      </c>
      <c r="B246" s="18" t="s">
        <v>709</v>
      </c>
      <c r="C246" s="10" t="s">
        <v>199</v>
      </c>
      <c r="D246" s="8">
        <v>11.803000000000001</v>
      </c>
    </row>
    <row r="247" spans="1:4" x14ac:dyDescent="0.3">
      <c r="A247" s="7" t="s">
        <v>710</v>
      </c>
      <c r="B247" s="18" t="s">
        <v>711</v>
      </c>
      <c r="C247" s="7" t="s">
        <v>452</v>
      </c>
      <c r="D247" s="8">
        <v>7.9130000000000003</v>
      </c>
    </row>
    <row r="248" spans="1:4" ht="27" x14ac:dyDescent="0.3">
      <c r="A248" s="7" t="s">
        <v>712</v>
      </c>
      <c r="B248" s="18" t="s">
        <v>713</v>
      </c>
      <c r="C248" s="7" t="s">
        <v>257</v>
      </c>
      <c r="D248" s="8">
        <v>8.9749999999999996</v>
      </c>
    </row>
    <row r="249" spans="1:4" ht="27" x14ac:dyDescent="0.3">
      <c r="A249" s="7" t="s">
        <v>714</v>
      </c>
      <c r="B249" s="18" t="s">
        <v>715</v>
      </c>
      <c r="C249" s="7" t="s">
        <v>199</v>
      </c>
      <c r="D249" s="8">
        <v>3.145</v>
      </c>
    </row>
    <row r="250" spans="1:4" ht="27" x14ac:dyDescent="0.3">
      <c r="A250" s="7" t="s">
        <v>716</v>
      </c>
      <c r="B250" s="18" t="s">
        <v>717</v>
      </c>
      <c r="C250" s="7" t="s">
        <v>198</v>
      </c>
      <c r="D250" s="8">
        <v>13.278</v>
      </c>
    </row>
    <row r="251" spans="1:4" x14ac:dyDescent="0.3">
      <c r="A251" s="7" t="s">
        <v>718</v>
      </c>
      <c r="B251" s="18" t="s">
        <v>719</v>
      </c>
      <c r="C251" s="7" t="s">
        <v>198</v>
      </c>
      <c r="D251" s="8">
        <v>3.2349999999999999</v>
      </c>
    </row>
    <row r="252" spans="1:4" x14ac:dyDescent="0.3">
      <c r="A252" s="7" t="s">
        <v>720</v>
      </c>
      <c r="B252" s="18" t="s">
        <v>721</v>
      </c>
      <c r="C252" s="7" t="s">
        <v>198</v>
      </c>
      <c r="D252" s="8">
        <v>20.902000000000001</v>
      </c>
    </row>
    <row r="253" spans="1:4" ht="27" x14ac:dyDescent="0.3">
      <c r="A253" s="7" t="s">
        <v>722</v>
      </c>
      <c r="B253" s="18" t="s">
        <v>723</v>
      </c>
      <c r="C253" s="7" t="s">
        <v>198</v>
      </c>
      <c r="D253" s="8">
        <v>57.417000000000002</v>
      </c>
    </row>
    <row r="254" spans="1:4" ht="27" x14ac:dyDescent="0.3">
      <c r="A254" s="7" t="s">
        <v>724</v>
      </c>
      <c r="B254" s="18" t="s">
        <v>725</v>
      </c>
      <c r="C254" s="7" t="s">
        <v>198</v>
      </c>
      <c r="D254" s="8">
        <v>206.08500000000001</v>
      </c>
    </row>
    <row r="255" spans="1:4" ht="27" x14ac:dyDescent="0.3">
      <c r="A255" s="7" t="s">
        <v>726</v>
      </c>
      <c r="B255" s="18" t="s">
        <v>727</v>
      </c>
      <c r="C255" s="7" t="s">
        <v>728</v>
      </c>
      <c r="D255" s="8">
        <v>0.93799999999999994</v>
      </c>
    </row>
    <row r="256" spans="1:4" x14ac:dyDescent="0.3">
      <c r="A256" s="7" t="s">
        <v>729</v>
      </c>
      <c r="B256" s="18" t="s">
        <v>730</v>
      </c>
      <c r="C256" s="7" t="s">
        <v>200</v>
      </c>
      <c r="D256" s="8">
        <v>37.356999999999999</v>
      </c>
    </row>
    <row r="257" spans="1:4" ht="27" x14ac:dyDescent="0.3">
      <c r="A257" s="7" t="s">
        <v>731</v>
      </c>
      <c r="B257" s="18" t="s">
        <v>732</v>
      </c>
      <c r="C257" s="7" t="s">
        <v>198</v>
      </c>
      <c r="D257" s="8">
        <v>2.9169999999999998</v>
      </c>
    </row>
    <row r="258" spans="1:4" x14ac:dyDescent="0.3">
      <c r="A258" s="7" t="s">
        <v>733</v>
      </c>
      <c r="B258" s="18" t="s">
        <v>734</v>
      </c>
      <c r="C258" s="7" t="s">
        <v>735</v>
      </c>
      <c r="D258" s="8">
        <v>7.35</v>
      </c>
    </row>
    <row r="259" spans="1:4" ht="27" x14ac:dyDescent="0.3">
      <c r="A259" s="7" t="s">
        <v>736</v>
      </c>
      <c r="B259" s="18" t="s">
        <v>737</v>
      </c>
      <c r="C259" s="7" t="s">
        <v>738</v>
      </c>
      <c r="D259" s="8">
        <v>24.41</v>
      </c>
    </row>
    <row r="260" spans="1:4" ht="27" x14ac:dyDescent="0.3">
      <c r="A260" s="7" t="s">
        <v>739</v>
      </c>
      <c r="B260" s="18" t="s">
        <v>740</v>
      </c>
      <c r="C260" s="7" t="s">
        <v>198</v>
      </c>
      <c r="D260" s="8">
        <v>9.0999999999999998E-2</v>
      </c>
    </row>
    <row r="261" spans="1:4" x14ac:dyDescent="0.3">
      <c r="A261" s="10" t="s">
        <v>741</v>
      </c>
      <c r="B261" s="18" t="s">
        <v>742</v>
      </c>
      <c r="C261" s="10" t="s">
        <v>199</v>
      </c>
      <c r="D261" s="8">
        <v>23.76</v>
      </c>
    </row>
    <row r="262" spans="1:4" x14ac:dyDescent="0.3">
      <c r="A262" s="7" t="s">
        <v>743</v>
      </c>
      <c r="B262" s="18" t="s">
        <v>744</v>
      </c>
      <c r="C262" s="7" t="s">
        <v>325</v>
      </c>
      <c r="D262" s="8">
        <v>21.260999999999999</v>
      </c>
    </row>
    <row r="263" spans="1:4" ht="27" x14ac:dyDescent="0.3">
      <c r="A263" s="7" t="s">
        <v>745</v>
      </c>
      <c r="B263" s="18" t="s">
        <v>746</v>
      </c>
      <c r="C263" s="7" t="s">
        <v>198</v>
      </c>
      <c r="D263" s="8">
        <v>11.582000000000001</v>
      </c>
    </row>
    <row r="264" spans="1:4" ht="27" x14ac:dyDescent="0.3">
      <c r="A264" s="7" t="s">
        <v>747</v>
      </c>
      <c r="B264" s="18" t="s">
        <v>748</v>
      </c>
      <c r="C264" s="7" t="s">
        <v>749</v>
      </c>
      <c r="D264" s="8">
        <v>11.061</v>
      </c>
    </row>
    <row r="265" spans="1:4" x14ac:dyDescent="0.3">
      <c r="A265" s="7" t="s">
        <v>750</v>
      </c>
      <c r="B265" s="18" t="s">
        <v>751</v>
      </c>
      <c r="C265" s="7" t="s">
        <v>728</v>
      </c>
      <c r="D265" s="8">
        <v>6.21</v>
      </c>
    </row>
    <row r="266" spans="1:4" x14ac:dyDescent="0.3">
      <c r="A266" s="7" t="s">
        <v>752</v>
      </c>
      <c r="B266" s="18" t="s">
        <v>753</v>
      </c>
      <c r="C266" s="7" t="s">
        <v>452</v>
      </c>
      <c r="D266" s="8">
        <v>0.77</v>
      </c>
    </row>
    <row r="267" spans="1:4" ht="27" x14ac:dyDescent="0.3">
      <c r="A267" s="7" t="s">
        <v>754</v>
      </c>
      <c r="B267" s="18" t="s">
        <v>755</v>
      </c>
      <c r="C267" s="7" t="s">
        <v>756</v>
      </c>
      <c r="D267" s="8">
        <v>721.61099999999999</v>
      </c>
    </row>
    <row r="268" spans="1:4" ht="27" x14ac:dyDescent="0.3">
      <c r="A268" s="7" t="s">
        <v>757</v>
      </c>
      <c r="B268" s="18" t="s">
        <v>758</v>
      </c>
      <c r="C268" s="7" t="s">
        <v>759</v>
      </c>
      <c r="D268" s="8">
        <v>367.96133333333336</v>
      </c>
    </row>
    <row r="269" spans="1:4" ht="27" x14ac:dyDescent="0.3">
      <c r="A269" s="7" t="s">
        <v>760</v>
      </c>
      <c r="B269" s="18" t="s">
        <v>761</v>
      </c>
      <c r="C269" s="7" t="s">
        <v>762</v>
      </c>
      <c r="D269" s="8">
        <v>4257.0969999999998</v>
      </c>
    </row>
    <row r="270" spans="1:4" x14ac:dyDescent="0.3">
      <c r="A270" s="7" t="s">
        <v>763</v>
      </c>
      <c r="B270" s="18" t="s">
        <v>764</v>
      </c>
      <c r="C270" s="7" t="s">
        <v>198</v>
      </c>
      <c r="D270" s="8">
        <v>2621.7710000000002</v>
      </c>
    </row>
    <row r="271" spans="1:4" x14ac:dyDescent="0.3">
      <c r="A271" s="7" t="s">
        <v>765</v>
      </c>
      <c r="B271" s="18" t="s">
        <v>766</v>
      </c>
      <c r="C271" s="7" t="s">
        <v>767</v>
      </c>
      <c r="D271" s="8">
        <v>29.631</v>
      </c>
    </row>
    <row r="272" spans="1:4" ht="27" x14ac:dyDescent="0.3">
      <c r="A272" s="7" t="s">
        <v>768</v>
      </c>
      <c r="B272" s="18" t="s">
        <v>769</v>
      </c>
      <c r="C272" s="7" t="s">
        <v>209</v>
      </c>
      <c r="D272" s="8">
        <v>34.979999999999997</v>
      </c>
    </row>
    <row r="273" spans="1:4" ht="27" x14ac:dyDescent="0.3">
      <c r="A273" s="7" t="s">
        <v>770</v>
      </c>
      <c r="B273" s="18" t="s">
        <v>771</v>
      </c>
      <c r="C273" s="7" t="s">
        <v>767</v>
      </c>
      <c r="D273" s="8">
        <v>1.0489999999999999</v>
      </c>
    </row>
    <row r="274" spans="1:4" x14ac:dyDescent="0.3">
      <c r="A274" s="7" t="s">
        <v>772</v>
      </c>
      <c r="B274" s="18" t="s">
        <v>773</v>
      </c>
      <c r="C274" s="7" t="s">
        <v>774</v>
      </c>
      <c r="D274" s="8">
        <v>1.849</v>
      </c>
    </row>
    <row r="275" spans="1:4" ht="27" x14ac:dyDescent="0.3">
      <c r="A275" s="7" t="s">
        <v>775</v>
      </c>
      <c r="B275" s="18" t="s">
        <v>776</v>
      </c>
      <c r="C275" s="7" t="s">
        <v>683</v>
      </c>
      <c r="D275" s="8">
        <v>121.211</v>
      </c>
    </row>
    <row r="276" spans="1:4" ht="27" x14ac:dyDescent="0.3">
      <c r="A276" s="7" t="s">
        <v>777</v>
      </c>
      <c r="B276" s="18" t="s">
        <v>778</v>
      </c>
      <c r="C276" s="7" t="s">
        <v>209</v>
      </c>
      <c r="D276" s="8">
        <v>2.06</v>
      </c>
    </row>
    <row r="277" spans="1:4" ht="27" x14ac:dyDescent="0.3">
      <c r="A277" s="7" t="s">
        <v>779</v>
      </c>
      <c r="B277" s="18" t="s">
        <v>780</v>
      </c>
      <c r="C277" s="7" t="s">
        <v>781</v>
      </c>
      <c r="D277" s="8">
        <v>42.393999999999998</v>
      </c>
    </row>
    <row r="278" spans="1:4" x14ac:dyDescent="0.3">
      <c r="A278" s="10" t="s">
        <v>782</v>
      </c>
      <c r="B278" s="18" t="s">
        <v>783</v>
      </c>
      <c r="C278" s="7" t="s">
        <v>198</v>
      </c>
      <c r="D278" s="8">
        <v>347.726</v>
      </c>
    </row>
    <row r="279" spans="1:4" ht="27" x14ac:dyDescent="0.3">
      <c r="A279" s="7" t="s">
        <v>784</v>
      </c>
      <c r="B279" s="18" t="s">
        <v>785</v>
      </c>
      <c r="C279" s="7" t="s">
        <v>452</v>
      </c>
      <c r="D279" s="8">
        <v>11.522</v>
      </c>
    </row>
    <row r="280" spans="1:4" ht="27" x14ac:dyDescent="0.3">
      <c r="A280" s="7" t="s">
        <v>786</v>
      </c>
      <c r="B280" s="18" t="s">
        <v>787</v>
      </c>
      <c r="C280" s="7" t="s">
        <v>209</v>
      </c>
      <c r="D280" s="8">
        <v>1.8420000000000001</v>
      </c>
    </row>
    <row r="281" spans="1:4" ht="27" x14ac:dyDescent="0.3">
      <c r="A281" s="7" t="s">
        <v>788</v>
      </c>
      <c r="B281" s="18" t="s">
        <v>789</v>
      </c>
      <c r="C281" s="7" t="s">
        <v>553</v>
      </c>
      <c r="D281" s="8">
        <v>9.98</v>
      </c>
    </row>
    <row r="282" spans="1:4" ht="27" x14ac:dyDescent="0.3">
      <c r="A282" s="7" t="s">
        <v>790</v>
      </c>
      <c r="B282" s="18" t="s">
        <v>791</v>
      </c>
      <c r="C282" s="7" t="s">
        <v>405</v>
      </c>
      <c r="D282" s="8">
        <v>97.254999999999995</v>
      </c>
    </row>
    <row r="283" spans="1:4" ht="27" x14ac:dyDescent="0.3">
      <c r="A283" s="7" t="s">
        <v>792</v>
      </c>
      <c r="B283" s="18" t="s">
        <v>793</v>
      </c>
      <c r="C283" s="7" t="s">
        <v>295</v>
      </c>
      <c r="D283" s="8">
        <v>1.3069999999999999</v>
      </c>
    </row>
    <row r="284" spans="1:4" x14ac:dyDescent="0.3">
      <c r="A284" s="7" t="s">
        <v>794</v>
      </c>
      <c r="B284" s="18" t="s">
        <v>795</v>
      </c>
      <c r="C284" s="7" t="s">
        <v>199</v>
      </c>
      <c r="D284" s="8">
        <v>0.104</v>
      </c>
    </row>
    <row r="285" spans="1:4" ht="27" x14ac:dyDescent="0.3">
      <c r="A285" s="7" t="s">
        <v>796</v>
      </c>
      <c r="B285" s="18" t="s">
        <v>797</v>
      </c>
      <c r="C285" s="7" t="s">
        <v>199</v>
      </c>
      <c r="D285" s="8">
        <v>1.0860000000000001</v>
      </c>
    </row>
    <row r="286" spans="1:4" x14ac:dyDescent="0.3">
      <c r="A286" s="7" t="s">
        <v>798</v>
      </c>
      <c r="B286" s="18" t="s">
        <v>799</v>
      </c>
      <c r="C286" s="7" t="s">
        <v>371</v>
      </c>
      <c r="D286" s="8">
        <v>15.081</v>
      </c>
    </row>
    <row r="287" spans="1:4" ht="27" x14ac:dyDescent="0.3">
      <c r="A287" s="7" t="s">
        <v>800</v>
      </c>
      <c r="B287" s="18" t="s">
        <v>801</v>
      </c>
      <c r="C287" s="7" t="s">
        <v>200</v>
      </c>
      <c r="D287" s="8">
        <v>381.90199999999999</v>
      </c>
    </row>
    <row r="288" spans="1:4" ht="27" x14ac:dyDescent="0.3">
      <c r="A288" s="7" t="s">
        <v>802</v>
      </c>
      <c r="B288" s="18" t="s">
        <v>803</v>
      </c>
      <c r="C288" s="7" t="s">
        <v>199</v>
      </c>
      <c r="D288" s="8">
        <v>1.202</v>
      </c>
    </row>
    <row r="289" spans="1:4" x14ac:dyDescent="0.3">
      <c r="A289" s="7" t="s">
        <v>804</v>
      </c>
      <c r="B289" s="18" t="s">
        <v>805</v>
      </c>
      <c r="C289" s="7" t="s">
        <v>284</v>
      </c>
      <c r="D289" s="8">
        <v>417.77100000000002</v>
      </c>
    </row>
    <row r="290" spans="1:4" x14ac:dyDescent="0.3">
      <c r="A290" s="7" t="s">
        <v>806</v>
      </c>
      <c r="B290" s="18" t="s">
        <v>807</v>
      </c>
      <c r="C290" s="7" t="s">
        <v>808</v>
      </c>
      <c r="D290" s="8">
        <v>347.27499999999998</v>
      </c>
    </row>
    <row r="291" spans="1:4" ht="27" x14ac:dyDescent="0.3">
      <c r="A291" s="7" t="s">
        <v>809</v>
      </c>
      <c r="B291" s="18" t="s">
        <v>810</v>
      </c>
      <c r="C291" s="7" t="s">
        <v>553</v>
      </c>
      <c r="D291" s="8">
        <v>4.1349999999999998</v>
      </c>
    </row>
    <row r="292" spans="1:4" x14ac:dyDescent="0.3">
      <c r="A292" s="7" t="s">
        <v>811</v>
      </c>
      <c r="B292" s="18" t="s">
        <v>812</v>
      </c>
      <c r="C292" s="7" t="s">
        <v>396</v>
      </c>
      <c r="D292" s="8">
        <v>292.33100000000002</v>
      </c>
    </row>
    <row r="293" spans="1:4" x14ac:dyDescent="0.3">
      <c r="A293" s="7" t="s">
        <v>813</v>
      </c>
      <c r="B293" s="18" t="s">
        <v>814</v>
      </c>
      <c r="C293" s="7" t="s">
        <v>273</v>
      </c>
      <c r="D293" s="8">
        <v>59.277999999999999</v>
      </c>
    </row>
    <row r="294" spans="1:4" ht="27" x14ac:dyDescent="0.3">
      <c r="A294" s="7" t="s">
        <v>815</v>
      </c>
      <c r="B294" s="18" t="s">
        <v>816</v>
      </c>
      <c r="C294" s="10" t="s">
        <v>198</v>
      </c>
      <c r="D294" s="8">
        <v>9.625</v>
      </c>
    </row>
    <row r="295" spans="1:4" ht="27" x14ac:dyDescent="0.3">
      <c r="A295" s="7" t="s">
        <v>817</v>
      </c>
      <c r="B295" s="18" t="s">
        <v>818</v>
      </c>
      <c r="C295" s="7" t="s">
        <v>819</v>
      </c>
      <c r="D295" s="8">
        <v>25.245999999999999</v>
      </c>
    </row>
    <row r="296" spans="1:4" ht="27" x14ac:dyDescent="0.3">
      <c r="A296" s="7" t="s">
        <v>820</v>
      </c>
      <c r="B296" s="18" t="s">
        <v>821</v>
      </c>
      <c r="C296" s="7" t="s">
        <v>822</v>
      </c>
      <c r="D296" s="8">
        <v>74.647000000000006</v>
      </c>
    </row>
    <row r="297" spans="1:4" x14ac:dyDescent="0.3">
      <c r="A297" s="7" t="s">
        <v>823</v>
      </c>
      <c r="B297" s="18" t="s">
        <v>824</v>
      </c>
      <c r="C297" s="7" t="s">
        <v>825</v>
      </c>
      <c r="D297" s="8">
        <v>4.76</v>
      </c>
    </row>
    <row r="298" spans="1:4" ht="27" x14ac:dyDescent="0.3">
      <c r="A298" s="7" t="s">
        <v>826</v>
      </c>
      <c r="B298" s="18" t="s">
        <v>827</v>
      </c>
      <c r="C298" s="7" t="s">
        <v>825</v>
      </c>
      <c r="D298" s="8">
        <v>29.786000000000001</v>
      </c>
    </row>
    <row r="299" spans="1:4" ht="27" x14ac:dyDescent="0.3">
      <c r="A299" s="7" t="s">
        <v>828</v>
      </c>
      <c r="B299" s="18" t="s">
        <v>1573</v>
      </c>
      <c r="C299" s="7" t="s">
        <v>396</v>
      </c>
      <c r="D299" s="8">
        <v>10.045</v>
      </c>
    </row>
    <row r="300" spans="1:4" ht="27" x14ac:dyDescent="0.3">
      <c r="A300" s="7" t="s">
        <v>830</v>
      </c>
      <c r="B300" s="18" t="s">
        <v>831</v>
      </c>
      <c r="C300" s="7" t="s">
        <v>198</v>
      </c>
      <c r="D300" s="8">
        <v>7.4999999999999997E-2</v>
      </c>
    </row>
    <row r="301" spans="1:4" x14ac:dyDescent="0.3">
      <c r="A301" s="13" t="s">
        <v>832</v>
      </c>
      <c r="B301" s="18" t="s">
        <v>833</v>
      </c>
      <c r="C301" s="7" t="s">
        <v>834</v>
      </c>
      <c r="D301" s="8">
        <v>74.260000000000005</v>
      </c>
    </row>
    <row r="302" spans="1:4" x14ac:dyDescent="0.3">
      <c r="A302" s="7" t="s">
        <v>1574</v>
      </c>
      <c r="B302" s="18" t="s">
        <v>1575</v>
      </c>
      <c r="C302" s="7" t="s">
        <v>1576</v>
      </c>
      <c r="D302" s="8">
        <v>9.8390000000000004</v>
      </c>
    </row>
    <row r="303" spans="1:4" ht="27" x14ac:dyDescent="0.3">
      <c r="A303" s="7" t="s">
        <v>835</v>
      </c>
      <c r="B303" s="18" t="s">
        <v>836</v>
      </c>
      <c r="C303" s="7" t="s">
        <v>381</v>
      </c>
      <c r="D303" s="8">
        <v>8.2669999999999995</v>
      </c>
    </row>
    <row r="304" spans="1:4" x14ac:dyDescent="0.3">
      <c r="A304" s="7" t="s">
        <v>837</v>
      </c>
      <c r="B304" s="18" t="s">
        <v>838</v>
      </c>
      <c r="C304" s="7" t="s">
        <v>839</v>
      </c>
      <c r="D304" s="8">
        <v>110.929</v>
      </c>
    </row>
    <row r="305" spans="1:4" x14ac:dyDescent="0.3">
      <c r="A305" s="7" t="s">
        <v>842</v>
      </c>
      <c r="B305" s="18" t="s">
        <v>843</v>
      </c>
      <c r="C305" s="7" t="s">
        <v>325</v>
      </c>
      <c r="D305" s="8">
        <v>43.503999999999998</v>
      </c>
    </row>
    <row r="306" spans="1:4" x14ac:dyDescent="0.3">
      <c r="A306" s="7" t="s">
        <v>844</v>
      </c>
      <c r="B306" s="18" t="s">
        <v>845</v>
      </c>
      <c r="C306" s="7" t="s">
        <v>199</v>
      </c>
      <c r="D306" s="8">
        <v>103.538</v>
      </c>
    </row>
    <row r="307" spans="1:4" ht="27" x14ac:dyDescent="0.3">
      <c r="A307" s="7" t="s">
        <v>846</v>
      </c>
      <c r="B307" s="18" t="s">
        <v>847</v>
      </c>
      <c r="C307" s="7" t="s">
        <v>848</v>
      </c>
      <c r="D307" s="8">
        <v>1.9870000000000001</v>
      </c>
    </row>
    <row r="308" spans="1:4" ht="27" x14ac:dyDescent="0.3">
      <c r="A308" s="7" t="s">
        <v>849</v>
      </c>
      <c r="B308" s="18" t="s">
        <v>850</v>
      </c>
      <c r="C308" s="7" t="s">
        <v>491</v>
      </c>
      <c r="D308" s="8">
        <v>4.5819999999999999</v>
      </c>
    </row>
    <row r="309" spans="1:4" ht="27" x14ac:dyDescent="0.3">
      <c r="A309" s="7" t="s">
        <v>851</v>
      </c>
      <c r="B309" s="18" t="s">
        <v>850</v>
      </c>
      <c r="C309" s="7" t="s">
        <v>852</v>
      </c>
      <c r="D309" s="8">
        <v>6.3170000000000002</v>
      </c>
    </row>
    <row r="310" spans="1:4" x14ac:dyDescent="0.3">
      <c r="A310" s="7" t="s">
        <v>853</v>
      </c>
      <c r="B310" s="18" t="s">
        <v>854</v>
      </c>
      <c r="C310" s="7" t="s">
        <v>198</v>
      </c>
      <c r="D310" s="8">
        <v>87.852000000000004</v>
      </c>
    </row>
    <row r="311" spans="1:4" x14ac:dyDescent="0.3">
      <c r="A311" s="7" t="s">
        <v>855</v>
      </c>
      <c r="B311" s="18" t="s">
        <v>856</v>
      </c>
      <c r="C311" s="7" t="s">
        <v>405</v>
      </c>
      <c r="D311" s="8">
        <v>32.064999999999998</v>
      </c>
    </row>
    <row r="312" spans="1:4" ht="27" x14ac:dyDescent="0.3">
      <c r="A312" s="7" t="s">
        <v>857</v>
      </c>
      <c r="B312" s="18" t="s">
        <v>858</v>
      </c>
      <c r="C312" s="7" t="s">
        <v>273</v>
      </c>
      <c r="D312" s="8">
        <v>0.98699999999999999</v>
      </c>
    </row>
    <row r="313" spans="1:4" ht="27" x14ac:dyDescent="0.3">
      <c r="A313" s="10" t="s">
        <v>859</v>
      </c>
      <c r="B313" s="18" t="s">
        <v>860</v>
      </c>
      <c r="C313" s="10" t="s">
        <v>371</v>
      </c>
      <c r="D313" s="8">
        <v>39.963000000000001</v>
      </c>
    </row>
    <row r="314" spans="1:4" x14ac:dyDescent="0.3">
      <c r="A314" s="10" t="s">
        <v>863</v>
      </c>
      <c r="B314" s="18" t="s">
        <v>864</v>
      </c>
      <c r="C314" s="10" t="s">
        <v>198</v>
      </c>
      <c r="D314" s="8">
        <v>1.5469999999999999</v>
      </c>
    </row>
    <row r="315" spans="1:4" x14ac:dyDescent="0.3">
      <c r="A315" s="7" t="s">
        <v>865</v>
      </c>
      <c r="B315" s="18" t="s">
        <v>866</v>
      </c>
      <c r="C315" s="7" t="s">
        <v>199</v>
      </c>
      <c r="D315" s="8">
        <v>5.6280000000000001</v>
      </c>
    </row>
    <row r="316" spans="1:4" x14ac:dyDescent="0.3">
      <c r="A316" s="7" t="s">
        <v>867</v>
      </c>
      <c r="B316" s="18" t="s">
        <v>868</v>
      </c>
      <c r="C316" s="7" t="s">
        <v>198</v>
      </c>
      <c r="D316" s="8">
        <v>125.419</v>
      </c>
    </row>
    <row r="317" spans="1:4" x14ac:dyDescent="0.3">
      <c r="A317" s="7" t="s">
        <v>869</v>
      </c>
      <c r="B317" s="18" t="s">
        <v>870</v>
      </c>
      <c r="C317" s="7" t="s">
        <v>198</v>
      </c>
      <c r="D317" s="8">
        <v>2.1190000000000002</v>
      </c>
    </row>
    <row r="318" spans="1:4" ht="27" x14ac:dyDescent="0.3">
      <c r="A318" s="7" t="s">
        <v>1577</v>
      </c>
      <c r="B318" s="18" t="s">
        <v>1578</v>
      </c>
      <c r="C318" s="7" t="s">
        <v>198</v>
      </c>
      <c r="D318" s="8">
        <v>9.0860000000000003</v>
      </c>
    </row>
    <row r="319" spans="1:4" ht="27" x14ac:dyDescent="0.3">
      <c r="A319" s="7" t="s">
        <v>871</v>
      </c>
      <c r="B319" s="18" t="s">
        <v>872</v>
      </c>
      <c r="C319" s="7" t="s">
        <v>198</v>
      </c>
      <c r="D319" s="8">
        <v>0.05</v>
      </c>
    </row>
    <row r="320" spans="1:4" ht="27" x14ac:dyDescent="0.3">
      <c r="A320" s="7" t="s">
        <v>873</v>
      </c>
      <c r="B320" s="18" t="s">
        <v>874</v>
      </c>
      <c r="C320" s="10" t="s">
        <v>198</v>
      </c>
      <c r="D320" s="8">
        <v>1.45</v>
      </c>
    </row>
    <row r="321" spans="1:4" ht="27" x14ac:dyDescent="0.3">
      <c r="A321" s="7" t="s">
        <v>875</v>
      </c>
      <c r="B321" s="18" t="s">
        <v>876</v>
      </c>
      <c r="C321" s="7" t="s">
        <v>209</v>
      </c>
      <c r="D321" s="8">
        <v>31.556000000000001</v>
      </c>
    </row>
    <row r="322" spans="1:4" x14ac:dyDescent="0.3">
      <c r="A322" s="7" t="s">
        <v>877</v>
      </c>
      <c r="B322" s="18" t="s">
        <v>878</v>
      </c>
      <c r="C322" s="7" t="s">
        <v>879</v>
      </c>
      <c r="D322" s="8">
        <v>1700.41</v>
      </c>
    </row>
    <row r="323" spans="1:4" x14ac:dyDescent="0.3">
      <c r="A323" s="7" t="s">
        <v>880</v>
      </c>
      <c r="B323" s="18" t="s">
        <v>881</v>
      </c>
      <c r="C323" s="7" t="s">
        <v>198</v>
      </c>
      <c r="D323" s="8">
        <v>1.635</v>
      </c>
    </row>
    <row r="324" spans="1:4" ht="27" x14ac:dyDescent="0.3">
      <c r="A324" s="7" t="s">
        <v>882</v>
      </c>
      <c r="B324" s="18" t="s">
        <v>883</v>
      </c>
      <c r="C324" s="7" t="s">
        <v>198</v>
      </c>
      <c r="D324" s="8">
        <v>131.71199999999999</v>
      </c>
    </row>
    <row r="325" spans="1:4" ht="27" x14ac:dyDescent="0.3">
      <c r="A325" s="7" t="s">
        <v>884</v>
      </c>
      <c r="B325" s="18" t="s">
        <v>885</v>
      </c>
      <c r="C325" s="7" t="s">
        <v>442</v>
      </c>
      <c r="D325" s="8">
        <v>36.460999999999999</v>
      </c>
    </row>
    <row r="326" spans="1:4" ht="27" x14ac:dyDescent="0.3">
      <c r="A326" s="7" t="s">
        <v>886</v>
      </c>
      <c r="B326" s="18" t="s">
        <v>887</v>
      </c>
      <c r="C326" s="7" t="s">
        <v>494</v>
      </c>
      <c r="D326" s="8">
        <v>3.6909999999999998</v>
      </c>
    </row>
    <row r="327" spans="1:4" x14ac:dyDescent="0.3">
      <c r="A327" s="7" t="s">
        <v>888</v>
      </c>
      <c r="B327" s="18" t="s">
        <v>889</v>
      </c>
      <c r="C327" s="7" t="s">
        <v>198</v>
      </c>
      <c r="D327" s="8">
        <v>5.08</v>
      </c>
    </row>
    <row r="328" spans="1:4" x14ac:dyDescent="0.3">
      <c r="A328" s="7" t="s">
        <v>890</v>
      </c>
      <c r="B328" s="18" t="s">
        <v>891</v>
      </c>
      <c r="C328" s="7" t="s">
        <v>198</v>
      </c>
      <c r="D328" s="8">
        <v>62.511000000000003</v>
      </c>
    </row>
    <row r="329" spans="1:4" ht="27" x14ac:dyDescent="0.3">
      <c r="A329" s="7" t="s">
        <v>892</v>
      </c>
      <c r="B329" s="18" t="s">
        <v>893</v>
      </c>
      <c r="C329" s="7" t="s">
        <v>198</v>
      </c>
      <c r="D329" s="8">
        <v>3.84</v>
      </c>
    </row>
    <row r="330" spans="1:4" ht="27" x14ac:dyDescent="0.3">
      <c r="A330" s="7" t="s">
        <v>894</v>
      </c>
      <c r="B330" s="18" t="s">
        <v>895</v>
      </c>
      <c r="C330" s="7" t="s">
        <v>199</v>
      </c>
      <c r="D330" s="8">
        <v>1.56</v>
      </c>
    </row>
    <row r="331" spans="1:4" ht="27" x14ac:dyDescent="0.3">
      <c r="A331" s="7" t="s">
        <v>896</v>
      </c>
      <c r="B331" s="18" t="s">
        <v>897</v>
      </c>
      <c r="C331" s="10" t="s">
        <v>198</v>
      </c>
      <c r="D331" s="8">
        <v>18.88</v>
      </c>
    </row>
    <row r="332" spans="1:4" x14ac:dyDescent="0.3">
      <c r="A332" s="7" t="s">
        <v>898</v>
      </c>
      <c r="B332" s="18" t="s">
        <v>899</v>
      </c>
      <c r="C332" s="7" t="s">
        <v>670</v>
      </c>
      <c r="D332" s="8">
        <v>263.74299999999999</v>
      </c>
    </row>
    <row r="333" spans="1:4" ht="27" x14ac:dyDescent="0.3">
      <c r="A333" s="7" t="s">
        <v>900</v>
      </c>
      <c r="B333" s="18" t="s">
        <v>901</v>
      </c>
      <c r="C333" s="7" t="s">
        <v>198</v>
      </c>
      <c r="D333" s="8">
        <v>190.357</v>
      </c>
    </row>
    <row r="334" spans="1:4" ht="27" x14ac:dyDescent="0.3">
      <c r="A334" s="7" t="s">
        <v>902</v>
      </c>
      <c r="B334" s="18" t="s">
        <v>903</v>
      </c>
      <c r="C334" s="7" t="s">
        <v>198</v>
      </c>
      <c r="D334" s="8">
        <v>11.932</v>
      </c>
    </row>
    <row r="335" spans="1:4" x14ac:dyDescent="0.3">
      <c r="A335" s="7" t="s">
        <v>904</v>
      </c>
      <c r="B335" s="18" t="s">
        <v>905</v>
      </c>
      <c r="C335" s="7" t="s">
        <v>200</v>
      </c>
      <c r="D335" s="8">
        <v>9.4220000000000006</v>
      </c>
    </row>
    <row r="336" spans="1:4" ht="27" x14ac:dyDescent="0.3">
      <c r="A336" s="7" t="s">
        <v>906</v>
      </c>
      <c r="B336" s="18" t="s">
        <v>907</v>
      </c>
      <c r="C336" s="7" t="s">
        <v>284</v>
      </c>
      <c r="D336" s="8">
        <v>3.387</v>
      </c>
    </row>
    <row r="337" spans="1:4" x14ac:dyDescent="0.3">
      <c r="A337" s="10" t="s">
        <v>908</v>
      </c>
      <c r="B337" s="18" t="s">
        <v>909</v>
      </c>
      <c r="C337" s="10" t="s">
        <v>198</v>
      </c>
      <c r="D337" s="8">
        <v>20.242000000000001</v>
      </c>
    </row>
    <row r="338" spans="1:4" x14ac:dyDescent="0.3">
      <c r="A338" s="7" t="s">
        <v>910</v>
      </c>
      <c r="B338" s="18" t="s">
        <v>911</v>
      </c>
      <c r="C338" s="7" t="s">
        <v>360</v>
      </c>
      <c r="D338" s="8">
        <v>345.41699999999997</v>
      </c>
    </row>
    <row r="339" spans="1:4" x14ac:dyDescent="0.3">
      <c r="A339" s="7" t="s">
        <v>912</v>
      </c>
      <c r="B339" s="18" t="s">
        <v>913</v>
      </c>
      <c r="C339" s="7" t="s">
        <v>273</v>
      </c>
      <c r="D339" s="8">
        <v>11.111000000000001</v>
      </c>
    </row>
    <row r="340" spans="1:4" ht="27" x14ac:dyDescent="0.3">
      <c r="A340" s="7" t="s">
        <v>914</v>
      </c>
      <c r="B340" s="18" t="s">
        <v>915</v>
      </c>
      <c r="C340" s="7" t="s">
        <v>553</v>
      </c>
      <c r="D340" s="8">
        <v>7.02</v>
      </c>
    </row>
    <row r="341" spans="1:4" x14ac:dyDescent="0.3">
      <c r="A341" s="7" t="s">
        <v>916</v>
      </c>
      <c r="B341" s="18" t="s">
        <v>917</v>
      </c>
      <c r="C341" s="7" t="s">
        <v>257</v>
      </c>
      <c r="D341" s="8">
        <v>1.6539999999999999</v>
      </c>
    </row>
    <row r="342" spans="1:4" x14ac:dyDescent="0.3">
      <c r="A342" s="7" t="s">
        <v>918</v>
      </c>
      <c r="B342" s="18" t="s">
        <v>919</v>
      </c>
      <c r="C342" s="7" t="s">
        <v>257</v>
      </c>
      <c r="D342" s="8">
        <v>6.6040000000000001</v>
      </c>
    </row>
    <row r="343" spans="1:4" x14ac:dyDescent="0.3">
      <c r="A343" s="7" t="s">
        <v>920</v>
      </c>
      <c r="B343" s="18" t="s">
        <v>921</v>
      </c>
      <c r="C343" s="7" t="s">
        <v>922</v>
      </c>
      <c r="D343" s="8">
        <v>2.2120000000000002</v>
      </c>
    </row>
    <row r="344" spans="1:4" ht="27" x14ac:dyDescent="0.3">
      <c r="A344" s="7" t="s">
        <v>923</v>
      </c>
      <c r="B344" s="18" t="s">
        <v>924</v>
      </c>
      <c r="C344" s="7" t="s">
        <v>198</v>
      </c>
      <c r="D344" s="8">
        <v>4.2320000000000002</v>
      </c>
    </row>
    <row r="345" spans="1:4" x14ac:dyDescent="0.3">
      <c r="A345" s="7" t="s">
        <v>925</v>
      </c>
      <c r="B345" s="18" t="s">
        <v>926</v>
      </c>
      <c r="C345" s="7" t="s">
        <v>199</v>
      </c>
      <c r="D345" s="8">
        <v>2.1139999999999999</v>
      </c>
    </row>
    <row r="346" spans="1:4" ht="27" x14ac:dyDescent="0.3">
      <c r="A346" s="10" t="s">
        <v>927</v>
      </c>
      <c r="B346" s="18" t="s">
        <v>928</v>
      </c>
      <c r="C346" s="10" t="s">
        <v>354</v>
      </c>
      <c r="D346" s="8">
        <v>0.42799999999999999</v>
      </c>
    </row>
    <row r="347" spans="1:4" ht="27" x14ac:dyDescent="0.3">
      <c r="A347" s="7" t="s">
        <v>929</v>
      </c>
      <c r="B347" s="18" t="s">
        <v>930</v>
      </c>
      <c r="C347" s="7" t="s">
        <v>931</v>
      </c>
      <c r="D347" s="8">
        <v>0.35899999999999999</v>
      </c>
    </row>
    <row r="348" spans="1:4" x14ac:dyDescent="0.3">
      <c r="A348" s="7" t="s">
        <v>932</v>
      </c>
      <c r="B348" s="18" t="s">
        <v>933</v>
      </c>
      <c r="C348" s="7" t="s">
        <v>284</v>
      </c>
      <c r="D348" s="8">
        <v>0.629</v>
      </c>
    </row>
    <row r="349" spans="1:4" x14ac:dyDescent="0.3">
      <c r="A349" s="7" t="s">
        <v>934</v>
      </c>
      <c r="B349" s="18" t="s">
        <v>935</v>
      </c>
      <c r="C349" s="7" t="s">
        <v>936</v>
      </c>
      <c r="D349" s="8">
        <v>0.14399999999999999</v>
      </c>
    </row>
    <row r="350" spans="1:4" x14ac:dyDescent="0.3">
      <c r="A350" s="7" t="s">
        <v>937</v>
      </c>
      <c r="B350" s="18" t="s">
        <v>938</v>
      </c>
      <c r="C350" s="7" t="s">
        <v>199</v>
      </c>
      <c r="D350" s="8">
        <v>1.514</v>
      </c>
    </row>
    <row r="351" spans="1:4" x14ac:dyDescent="0.3">
      <c r="A351" s="7" t="s">
        <v>939</v>
      </c>
      <c r="B351" s="18" t="s">
        <v>940</v>
      </c>
      <c r="C351" s="7" t="s">
        <v>199</v>
      </c>
      <c r="D351" s="8">
        <v>17.956</v>
      </c>
    </row>
    <row r="352" spans="1:4" x14ac:dyDescent="0.3">
      <c r="A352" s="7" t="s">
        <v>941</v>
      </c>
      <c r="B352" s="18" t="s">
        <v>942</v>
      </c>
      <c r="C352" s="7" t="s">
        <v>198</v>
      </c>
      <c r="D352" s="8">
        <v>10.882</v>
      </c>
    </row>
    <row r="353" spans="1:4" ht="27" x14ac:dyDescent="0.3">
      <c r="A353" s="7" t="s">
        <v>943</v>
      </c>
      <c r="B353" s="18" t="s">
        <v>944</v>
      </c>
      <c r="C353" s="7" t="s">
        <v>945</v>
      </c>
      <c r="D353" s="8">
        <v>2.5859999999999999</v>
      </c>
    </row>
    <row r="354" spans="1:4" ht="27" x14ac:dyDescent="0.3">
      <c r="A354" s="7" t="s">
        <v>946</v>
      </c>
      <c r="B354" s="18" t="s">
        <v>944</v>
      </c>
      <c r="C354" s="7" t="s">
        <v>947</v>
      </c>
      <c r="D354" s="8">
        <v>1.2929999999999999</v>
      </c>
    </row>
    <row r="355" spans="1:4" ht="27" x14ac:dyDescent="0.3">
      <c r="A355" s="7" t="s">
        <v>948</v>
      </c>
      <c r="B355" s="18" t="s">
        <v>949</v>
      </c>
      <c r="C355" s="7" t="s">
        <v>947</v>
      </c>
      <c r="D355" s="8">
        <v>0.93</v>
      </c>
    </row>
    <row r="356" spans="1:4" ht="27" x14ac:dyDescent="0.3">
      <c r="A356" s="7" t="s">
        <v>950</v>
      </c>
      <c r="B356" s="18" t="s">
        <v>944</v>
      </c>
      <c r="C356" s="7" t="s">
        <v>951</v>
      </c>
      <c r="D356" s="8">
        <v>0.64600000000000002</v>
      </c>
    </row>
    <row r="357" spans="1:4" x14ac:dyDescent="0.3">
      <c r="A357" s="7" t="s">
        <v>952</v>
      </c>
      <c r="B357" s="18" t="s">
        <v>953</v>
      </c>
      <c r="C357" s="7" t="s">
        <v>947</v>
      </c>
      <c r="D357" s="8">
        <v>1.82</v>
      </c>
    </row>
    <row r="358" spans="1:4" x14ac:dyDescent="0.3">
      <c r="A358" s="7" t="s">
        <v>954</v>
      </c>
      <c r="B358" s="18" t="s">
        <v>955</v>
      </c>
      <c r="C358" s="7" t="s">
        <v>956</v>
      </c>
      <c r="D358" s="8">
        <v>3.605</v>
      </c>
    </row>
    <row r="359" spans="1:4" x14ac:dyDescent="0.3">
      <c r="A359" s="7" t="s">
        <v>957</v>
      </c>
      <c r="B359" s="18" t="s">
        <v>958</v>
      </c>
      <c r="C359" s="7" t="s">
        <v>956</v>
      </c>
      <c r="D359" s="8">
        <v>2.3610000000000002</v>
      </c>
    </row>
    <row r="360" spans="1:4" ht="27" x14ac:dyDescent="0.3">
      <c r="A360" s="7" t="s">
        <v>959</v>
      </c>
      <c r="B360" s="18" t="s">
        <v>960</v>
      </c>
      <c r="C360" s="7" t="s">
        <v>396</v>
      </c>
      <c r="D360" s="8">
        <v>47.347999999999999</v>
      </c>
    </row>
    <row r="361" spans="1:4" ht="27" x14ac:dyDescent="0.3">
      <c r="A361" s="7" t="s">
        <v>961</v>
      </c>
      <c r="B361" s="18" t="s">
        <v>962</v>
      </c>
      <c r="C361" s="7" t="s">
        <v>963</v>
      </c>
      <c r="D361" s="8">
        <v>7.5190000000000001</v>
      </c>
    </row>
    <row r="362" spans="1:4" x14ac:dyDescent="0.3">
      <c r="A362" s="7" t="s">
        <v>1579</v>
      </c>
      <c r="B362" s="18" t="s">
        <v>1580</v>
      </c>
      <c r="C362" s="7" t="s">
        <v>198</v>
      </c>
      <c r="D362" s="8">
        <v>2.2440000000000002</v>
      </c>
    </row>
    <row r="363" spans="1:4" ht="27" x14ac:dyDescent="0.3">
      <c r="A363" s="7" t="s">
        <v>964</v>
      </c>
      <c r="B363" s="18" t="s">
        <v>965</v>
      </c>
      <c r="C363" s="7" t="s">
        <v>963</v>
      </c>
      <c r="D363" s="8">
        <v>1.202</v>
      </c>
    </row>
    <row r="364" spans="1:4" ht="27" x14ac:dyDescent="0.3">
      <c r="A364" s="7" t="s">
        <v>966</v>
      </c>
      <c r="B364" s="18" t="s">
        <v>967</v>
      </c>
      <c r="C364" s="7" t="s">
        <v>963</v>
      </c>
      <c r="D364" s="8">
        <v>1.8979999999999999</v>
      </c>
    </row>
    <row r="365" spans="1:4" ht="27" x14ac:dyDescent="0.3">
      <c r="A365" s="7" t="s">
        <v>968</v>
      </c>
      <c r="B365" s="18" t="s">
        <v>969</v>
      </c>
      <c r="C365" s="7" t="s">
        <v>963</v>
      </c>
      <c r="D365" s="8">
        <v>8.4619999999999997</v>
      </c>
    </row>
    <row r="366" spans="1:4" ht="27" x14ac:dyDescent="0.3">
      <c r="A366" s="7" t="s">
        <v>970</v>
      </c>
      <c r="B366" s="18" t="s">
        <v>971</v>
      </c>
      <c r="C366" s="7" t="s">
        <v>963</v>
      </c>
      <c r="D366" s="8">
        <v>15.468999999999999</v>
      </c>
    </row>
    <row r="367" spans="1:4" ht="27" x14ac:dyDescent="0.3">
      <c r="A367" s="10" t="s">
        <v>972</v>
      </c>
      <c r="B367" s="18" t="s">
        <v>973</v>
      </c>
      <c r="C367" s="7" t="s">
        <v>963</v>
      </c>
      <c r="D367" s="8">
        <v>1.302</v>
      </c>
    </row>
    <row r="368" spans="1:4" x14ac:dyDescent="0.3">
      <c r="A368" s="7" t="s">
        <v>974</v>
      </c>
      <c r="B368" s="18" t="s">
        <v>975</v>
      </c>
      <c r="C368" s="7" t="s">
        <v>976</v>
      </c>
      <c r="D368" s="8">
        <v>1.026</v>
      </c>
    </row>
    <row r="369" spans="1:4" x14ac:dyDescent="0.3">
      <c r="A369" s="7" t="s">
        <v>977</v>
      </c>
      <c r="B369" s="18" t="s">
        <v>978</v>
      </c>
      <c r="C369" s="7" t="s">
        <v>963</v>
      </c>
      <c r="D369" s="8">
        <v>1.256</v>
      </c>
    </row>
    <row r="370" spans="1:4" ht="27" x14ac:dyDescent="0.3">
      <c r="A370" s="7" t="s">
        <v>979</v>
      </c>
      <c r="B370" s="18" t="s">
        <v>980</v>
      </c>
      <c r="C370" s="13" t="s">
        <v>981</v>
      </c>
      <c r="D370" s="8">
        <v>1.071</v>
      </c>
    </row>
    <row r="371" spans="1:4" x14ac:dyDescent="0.3">
      <c r="A371" s="7" t="s">
        <v>982</v>
      </c>
      <c r="B371" s="18" t="s">
        <v>983</v>
      </c>
      <c r="C371" s="7" t="s">
        <v>963</v>
      </c>
      <c r="D371" s="8">
        <v>1.1659999999999999</v>
      </c>
    </row>
    <row r="372" spans="1:4" ht="27" x14ac:dyDescent="0.3">
      <c r="A372" s="7" t="s">
        <v>984</v>
      </c>
      <c r="B372" s="18" t="s">
        <v>985</v>
      </c>
      <c r="C372" s="7" t="s">
        <v>963</v>
      </c>
      <c r="D372" s="8">
        <v>3.1829999999999998</v>
      </c>
    </row>
    <row r="373" spans="1:4" x14ac:dyDescent="0.3">
      <c r="A373" s="7" t="s">
        <v>986</v>
      </c>
      <c r="B373" s="18" t="s">
        <v>987</v>
      </c>
      <c r="C373" s="13" t="s">
        <v>452</v>
      </c>
      <c r="D373" s="8">
        <v>2.157</v>
      </c>
    </row>
    <row r="374" spans="1:4" x14ac:dyDescent="0.3">
      <c r="A374" s="7" t="s">
        <v>988</v>
      </c>
      <c r="B374" s="18" t="s">
        <v>989</v>
      </c>
      <c r="C374" s="7" t="s">
        <v>963</v>
      </c>
      <c r="D374" s="8">
        <v>1.1040000000000001</v>
      </c>
    </row>
    <row r="375" spans="1:4" ht="27" x14ac:dyDescent="0.3">
      <c r="A375" s="7" t="s">
        <v>990</v>
      </c>
      <c r="B375" s="18" t="s">
        <v>991</v>
      </c>
      <c r="C375" s="7" t="s">
        <v>963</v>
      </c>
      <c r="D375" s="8">
        <v>1.29</v>
      </c>
    </row>
    <row r="376" spans="1:4" ht="27" x14ac:dyDescent="0.3">
      <c r="A376" s="7" t="s">
        <v>992</v>
      </c>
      <c r="B376" s="18" t="s">
        <v>993</v>
      </c>
      <c r="C376" s="7" t="s">
        <v>963</v>
      </c>
      <c r="D376" s="8">
        <v>1.1679999999999999</v>
      </c>
    </row>
    <row r="377" spans="1:4" x14ac:dyDescent="0.3">
      <c r="A377" s="7" t="s">
        <v>994</v>
      </c>
      <c r="B377" s="18" t="s">
        <v>995</v>
      </c>
      <c r="C377" s="7" t="s">
        <v>963</v>
      </c>
      <c r="D377" s="8">
        <v>1.4750000000000001</v>
      </c>
    </row>
    <row r="378" spans="1:4" ht="27" x14ac:dyDescent="0.3">
      <c r="A378" s="7" t="s">
        <v>996</v>
      </c>
      <c r="B378" s="18" t="s">
        <v>997</v>
      </c>
      <c r="C378" s="7" t="s">
        <v>963</v>
      </c>
      <c r="D378" s="8">
        <v>1.528</v>
      </c>
    </row>
    <row r="379" spans="1:4" ht="27" x14ac:dyDescent="0.3">
      <c r="A379" s="7" t="s">
        <v>998</v>
      </c>
      <c r="B379" s="18" t="s">
        <v>999</v>
      </c>
      <c r="C379" s="7" t="s">
        <v>963</v>
      </c>
      <c r="D379" s="8">
        <v>3.2789999999999999</v>
      </c>
    </row>
    <row r="380" spans="1:4" x14ac:dyDescent="0.3">
      <c r="A380" s="7" t="s">
        <v>1000</v>
      </c>
      <c r="B380" s="18" t="s">
        <v>1001</v>
      </c>
      <c r="C380" s="7" t="s">
        <v>963</v>
      </c>
      <c r="D380" s="8">
        <v>1.869</v>
      </c>
    </row>
    <row r="381" spans="1:4" ht="27" x14ac:dyDescent="0.3">
      <c r="A381" s="7" t="s">
        <v>1002</v>
      </c>
      <c r="B381" s="18" t="s">
        <v>1003</v>
      </c>
      <c r="C381" s="7" t="s">
        <v>963</v>
      </c>
      <c r="D381" s="8">
        <v>1.325</v>
      </c>
    </row>
    <row r="382" spans="1:4" ht="27" x14ac:dyDescent="0.3">
      <c r="A382" s="7" t="s">
        <v>1004</v>
      </c>
      <c r="B382" s="18" t="s">
        <v>1005</v>
      </c>
      <c r="C382" s="7" t="s">
        <v>963</v>
      </c>
      <c r="D382" s="8">
        <v>3.1389999999999998</v>
      </c>
    </row>
    <row r="383" spans="1:4" x14ac:dyDescent="0.3">
      <c r="A383" s="7" t="s">
        <v>1006</v>
      </c>
      <c r="B383" s="18" t="s">
        <v>1007</v>
      </c>
      <c r="C383" s="7" t="s">
        <v>963</v>
      </c>
      <c r="D383" s="8">
        <v>4.3049999999999997</v>
      </c>
    </row>
    <row r="384" spans="1:4" ht="27" x14ac:dyDescent="0.3">
      <c r="A384" s="7" t="s">
        <v>1581</v>
      </c>
      <c r="B384" s="18" t="s">
        <v>1582</v>
      </c>
      <c r="C384" s="7" t="s">
        <v>198</v>
      </c>
      <c r="D384" s="8">
        <v>3.956</v>
      </c>
    </row>
    <row r="385" spans="1:4" ht="27" x14ac:dyDescent="0.3">
      <c r="A385" s="7" t="s">
        <v>1008</v>
      </c>
      <c r="B385" s="18" t="s">
        <v>1009</v>
      </c>
      <c r="C385" s="7" t="s">
        <v>963</v>
      </c>
      <c r="D385" s="8">
        <v>2.1110000000000002</v>
      </c>
    </row>
    <row r="386" spans="1:4" ht="27" x14ac:dyDescent="0.3">
      <c r="A386" s="7" t="s">
        <v>1010</v>
      </c>
      <c r="B386" s="18" t="s">
        <v>1011</v>
      </c>
      <c r="C386" s="7" t="s">
        <v>963</v>
      </c>
      <c r="D386" s="8">
        <v>1.7869999999999999</v>
      </c>
    </row>
    <row r="387" spans="1:4" x14ac:dyDescent="0.3">
      <c r="A387" s="7" t="s">
        <v>1012</v>
      </c>
      <c r="B387" s="18" t="s">
        <v>1583</v>
      </c>
      <c r="C387" s="7" t="s">
        <v>963</v>
      </c>
      <c r="D387" s="8">
        <v>2.012</v>
      </c>
    </row>
    <row r="388" spans="1:4" ht="27" x14ac:dyDescent="0.3">
      <c r="A388" s="7" t="s">
        <v>1014</v>
      </c>
      <c r="B388" s="18" t="s">
        <v>1015</v>
      </c>
      <c r="C388" s="7" t="s">
        <v>963</v>
      </c>
      <c r="D388" s="8">
        <v>1.2070000000000001</v>
      </c>
    </row>
    <row r="389" spans="1:4" x14ac:dyDescent="0.3">
      <c r="A389" s="7" t="s">
        <v>1016</v>
      </c>
      <c r="B389" s="18" t="s">
        <v>1584</v>
      </c>
      <c r="C389" s="7" t="s">
        <v>963</v>
      </c>
      <c r="D389" s="8">
        <v>1.363</v>
      </c>
    </row>
    <row r="390" spans="1:4" x14ac:dyDescent="0.3">
      <c r="A390" s="7" t="s">
        <v>1018</v>
      </c>
      <c r="B390" s="18" t="s">
        <v>1019</v>
      </c>
      <c r="C390" s="7" t="s">
        <v>963</v>
      </c>
      <c r="D390" s="8">
        <v>1.246</v>
      </c>
    </row>
    <row r="391" spans="1:4" ht="27" x14ac:dyDescent="0.3">
      <c r="A391" s="7" t="s">
        <v>1020</v>
      </c>
      <c r="B391" s="18" t="s">
        <v>1021</v>
      </c>
      <c r="C391" s="7" t="s">
        <v>1022</v>
      </c>
      <c r="D391" s="8">
        <v>392.37299999999999</v>
      </c>
    </row>
    <row r="392" spans="1:4" x14ac:dyDescent="0.3">
      <c r="A392" s="7" t="s">
        <v>1023</v>
      </c>
      <c r="B392" s="18" t="s">
        <v>1585</v>
      </c>
      <c r="C392" s="7" t="s">
        <v>318</v>
      </c>
      <c r="D392" s="8">
        <v>341.55200000000002</v>
      </c>
    </row>
    <row r="393" spans="1:4" ht="27" x14ac:dyDescent="0.3">
      <c r="A393" s="7" t="s">
        <v>1026</v>
      </c>
      <c r="B393" s="18" t="s">
        <v>1027</v>
      </c>
      <c r="C393" s="7" t="s">
        <v>273</v>
      </c>
      <c r="D393" s="8">
        <v>200.10400000000001</v>
      </c>
    </row>
    <row r="394" spans="1:4" x14ac:dyDescent="0.3">
      <c r="A394" s="10" t="s">
        <v>1028</v>
      </c>
      <c r="B394" s="18" t="s">
        <v>1586</v>
      </c>
      <c r="C394" s="10" t="s">
        <v>318</v>
      </c>
      <c r="D394" s="8">
        <v>490.81200000000001</v>
      </c>
    </row>
    <row r="395" spans="1:4" ht="27" x14ac:dyDescent="0.3">
      <c r="A395" s="10" t="s">
        <v>1030</v>
      </c>
      <c r="B395" s="18" t="s">
        <v>1031</v>
      </c>
      <c r="C395" s="10" t="s">
        <v>1032</v>
      </c>
      <c r="D395" s="8">
        <v>1046.9269999999999</v>
      </c>
    </row>
    <row r="396" spans="1:4" ht="27" x14ac:dyDescent="0.3">
      <c r="A396" s="7" t="s">
        <v>1033</v>
      </c>
      <c r="B396" s="18" t="s">
        <v>1034</v>
      </c>
      <c r="C396" s="7" t="s">
        <v>1035</v>
      </c>
      <c r="D396" s="8">
        <v>82.846000000000004</v>
      </c>
    </row>
    <row r="397" spans="1:4" x14ac:dyDescent="0.3">
      <c r="A397" s="7" t="s">
        <v>1036</v>
      </c>
      <c r="B397" s="18" t="s">
        <v>1037</v>
      </c>
      <c r="C397" s="7" t="s">
        <v>1035</v>
      </c>
      <c r="D397" s="8">
        <v>144.69399999999999</v>
      </c>
    </row>
    <row r="398" spans="1:4" x14ac:dyDescent="0.3">
      <c r="A398" s="7" t="s">
        <v>1587</v>
      </c>
      <c r="B398" s="18" t="s">
        <v>1588</v>
      </c>
      <c r="C398" s="7" t="s">
        <v>1589</v>
      </c>
      <c r="D398" s="8">
        <v>140.422</v>
      </c>
    </row>
    <row r="399" spans="1:4" x14ac:dyDescent="0.3">
      <c r="A399" s="7" t="s">
        <v>1038</v>
      </c>
      <c r="B399" s="18" t="s">
        <v>1039</v>
      </c>
      <c r="C399" s="7" t="s">
        <v>198</v>
      </c>
      <c r="D399" s="8">
        <v>11.025</v>
      </c>
    </row>
    <row r="400" spans="1:4" x14ac:dyDescent="0.3">
      <c r="A400" s="7" t="s">
        <v>1590</v>
      </c>
      <c r="B400" s="18" t="s">
        <v>1591</v>
      </c>
      <c r="C400" s="7" t="s">
        <v>1589</v>
      </c>
      <c r="D400" s="8">
        <v>781.26499999999999</v>
      </c>
    </row>
    <row r="401" spans="1:4" x14ac:dyDescent="0.3">
      <c r="A401" s="7" t="s">
        <v>1040</v>
      </c>
      <c r="B401" s="18" t="s">
        <v>1041</v>
      </c>
      <c r="C401" s="7" t="s">
        <v>1042</v>
      </c>
      <c r="D401" s="8">
        <v>3.2498464285714292</v>
      </c>
    </row>
    <row r="402" spans="1:4" ht="27" x14ac:dyDescent="0.3">
      <c r="A402" s="7" t="s">
        <v>1043</v>
      </c>
      <c r="B402" s="18" t="s">
        <v>1044</v>
      </c>
      <c r="C402" s="7" t="s">
        <v>1045</v>
      </c>
      <c r="D402" s="8">
        <v>212.63200000000001</v>
      </c>
    </row>
    <row r="403" spans="1:4" ht="27" x14ac:dyDescent="0.3">
      <c r="A403" s="10" t="s">
        <v>1046</v>
      </c>
      <c r="B403" s="18" t="s">
        <v>1047</v>
      </c>
      <c r="C403" s="10" t="s">
        <v>199</v>
      </c>
      <c r="D403" s="8">
        <v>1.4530000000000001</v>
      </c>
    </row>
    <row r="404" spans="1:4" x14ac:dyDescent="0.3">
      <c r="A404" s="7" t="s">
        <v>1048</v>
      </c>
      <c r="B404" s="18" t="s">
        <v>1049</v>
      </c>
      <c r="C404" s="7" t="s">
        <v>209</v>
      </c>
      <c r="D404" s="8">
        <v>0.65800000000000003</v>
      </c>
    </row>
    <row r="405" spans="1:4" ht="27" x14ac:dyDescent="0.3">
      <c r="A405" s="7" t="s">
        <v>1050</v>
      </c>
      <c r="B405" s="18" t="s">
        <v>1051</v>
      </c>
      <c r="C405" s="7" t="s">
        <v>257</v>
      </c>
      <c r="D405" s="8">
        <v>2.3809999999999998</v>
      </c>
    </row>
    <row r="406" spans="1:4" ht="27" x14ac:dyDescent="0.3">
      <c r="A406" s="10" t="s">
        <v>1052</v>
      </c>
      <c r="B406" s="18" t="s">
        <v>1053</v>
      </c>
      <c r="C406" s="10" t="s">
        <v>458</v>
      </c>
      <c r="D406" s="8">
        <v>1.353</v>
      </c>
    </row>
    <row r="407" spans="1:4" ht="27" x14ac:dyDescent="0.3">
      <c r="A407" s="7" t="s">
        <v>1054</v>
      </c>
      <c r="B407" s="18" t="s">
        <v>1055</v>
      </c>
      <c r="C407" s="7" t="s">
        <v>295</v>
      </c>
      <c r="D407" s="8">
        <v>2060.038</v>
      </c>
    </row>
    <row r="408" spans="1:4" ht="27" x14ac:dyDescent="0.3">
      <c r="A408" s="7" t="s">
        <v>1056</v>
      </c>
      <c r="B408" s="18" t="s">
        <v>1057</v>
      </c>
      <c r="C408" s="7" t="s">
        <v>198</v>
      </c>
      <c r="D408" s="8">
        <v>0.69</v>
      </c>
    </row>
    <row r="409" spans="1:4" ht="27" x14ac:dyDescent="0.3">
      <c r="A409" s="10" t="s">
        <v>1058</v>
      </c>
      <c r="B409" s="18" t="s">
        <v>1059</v>
      </c>
      <c r="C409" s="10" t="s">
        <v>273</v>
      </c>
      <c r="D409" s="8">
        <v>0.47899999999999998</v>
      </c>
    </row>
    <row r="410" spans="1:4" ht="27" x14ac:dyDescent="0.3">
      <c r="A410" s="7" t="s">
        <v>1060</v>
      </c>
      <c r="B410" s="18" t="s">
        <v>1061</v>
      </c>
      <c r="C410" s="7" t="s">
        <v>513</v>
      </c>
      <c r="D410" s="8">
        <v>0.35299999999999998</v>
      </c>
    </row>
    <row r="411" spans="1:4" ht="27" x14ac:dyDescent="0.3">
      <c r="A411" s="7" t="s">
        <v>1062</v>
      </c>
      <c r="B411" s="18" t="s">
        <v>1063</v>
      </c>
      <c r="C411" s="7" t="s">
        <v>200</v>
      </c>
      <c r="D411" s="8">
        <v>9.1999999999999998E-2</v>
      </c>
    </row>
    <row r="412" spans="1:4" ht="27" x14ac:dyDescent="0.3">
      <c r="A412" s="7" t="s">
        <v>1064</v>
      </c>
      <c r="B412" s="18" t="s">
        <v>1065</v>
      </c>
      <c r="C412" s="7" t="s">
        <v>553</v>
      </c>
      <c r="D412" s="8">
        <v>765.73699999999997</v>
      </c>
    </row>
    <row r="413" spans="1:4" ht="27" x14ac:dyDescent="0.3">
      <c r="A413" s="7" t="s">
        <v>1066</v>
      </c>
      <c r="B413" s="18" t="s">
        <v>1067</v>
      </c>
      <c r="C413" s="7" t="s">
        <v>198</v>
      </c>
      <c r="D413" s="8">
        <v>1.2E-2</v>
      </c>
    </row>
    <row r="414" spans="1:4" ht="27" x14ac:dyDescent="0.3">
      <c r="A414" s="7" t="s">
        <v>1068</v>
      </c>
      <c r="B414" s="18" t="s">
        <v>1069</v>
      </c>
      <c r="C414" s="7" t="s">
        <v>553</v>
      </c>
      <c r="D414" s="8">
        <v>0.65300000000000002</v>
      </c>
    </row>
    <row r="415" spans="1:4" ht="27" x14ac:dyDescent="0.3">
      <c r="A415" s="7" t="s">
        <v>1070</v>
      </c>
      <c r="B415" s="18" t="s">
        <v>1071</v>
      </c>
      <c r="C415" s="7" t="s">
        <v>295</v>
      </c>
      <c r="D415" s="8">
        <v>58.744999999999997</v>
      </c>
    </row>
    <row r="416" spans="1:4" ht="27" x14ac:dyDescent="0.3">
      <c r="A416" s="7" t="s">
        <v>1072</v>
      </c>
      <c r="B416" s="18" t="s">
        <v>1073</v>
      </c>
      <c r="C416" s="7" t="s">
        <v>295</v>
      </c>
      <c r="D416" s="8">
        <v>0.72</v>
      </c>
    </row>
    <row r="417" spans="1:4" x14ac:dyDescent="0.3">
      <c r="A417" s="7" t="s">
        <v>1074</v>
      </c>
      <c r="B417" s="18" t="s">
        <v>1075</v>
      </c>
      <c r="C417" s="7" t="s">
        <v>1076</v>
      </c>
      <c r="D417" s="8">
        <v>2.6640000000000001</v>
      </c>
    </row>
    <row r="418" spans="1:4" x14ac:dyDescent="0.3">
      <c r="A418" s="7" t="s">
        <v>1077</v>
      </c>
      <c r="B418" s="18" t="s">
        <v>1078</v>
      </c>
      <c r="C418" s="7" t="s">
        <v>198</v>
      </c>
      <c r="D418" s="8">
        <v>6.0019999999999998</v>
      </c>
    </row>
    <row r="419" spans="1:4" x14ac:dyDescent="0.3">
      <c r="A419" s="7" t="s">
        <v>1079</v>
      </c>
      <c r="B419" s="18" t="s">
        <v>1080</v>
      </c>
      <c r="C419" s="7" t="s">
        <v>200</v>
      </c>
      <c r="D419" s="8">
        <v>211.595</v>
      </c>
    </row>
    <row r="420" spans="1:4" x14ac:dyDescent="0.3">
      <c r="A420" s="7" t="s">
        <v>1081</v>
      </c>
      <c r="B420" s="18" t="s">
        <v>1082</v>
      </c>
      <c r="C420" s="7" t="s">
        <v>458</v>
      </c>
      <c r="D420" s="8">
        <v>8.9640000000000004</v>
      </c>
    </row>
    <row r="421" spans="1:4" ht="27" x14ac:dyDescent="0.3">
      <c r="A421" s="7" t="s">
        <v>1083</v>
      </c>
      <c r="B421" s="18" t="s">
        <v>1084</v>
      </c>
      <c r="C421" s="7" t="s">
        <v>1085</v>
      </c>
      <c r="D421" s="8">
        <v>10.64</v>
      </c>
    </row>
    <row r="422" spans="1:4" ht="27" x14ac:dyDescent="0.3">
      <c r="A422" s="7" t="s">
        <v>1086</v>
      </c>
      <c r="B422" s="18" t="s">
        <v>1087</v>
      </c>
      <c r="C422" s="7" t="s">
        <v>239</v>
      </c>
      <c r="D422" s="8">
        <v>12.08</v>
      </c>
    </row>
    <row r="423" spans="1:4" ht="27" x14ac:dyDescent="0.3">
      <c r="A423" s="7" t="s">
        <v>1088</v>
      </c>
      <c r="B423" s="18" t="s">
        <v>1089</v>
      </c>
      <c r="C423" s="7" t="s">
        <v>405</v>
      </c>
      <c r="D423" s="8">
        <v>5.69</v>
      </c>
    </row>
    <row r="424" spans="1:4" ht="27" x14ac:dyDescent="0.3">
      <c r="A424" s="7" t="s">
        <v>1090</v>
      </c>
      <c r="B424" s="18" t="s">
        <v>1091</v>
      </c>
      <c r="C424" s="7" t="s">
        <v>198</v>
      </c>
      <c r="D424" s="8">
        <v>0.24299999999999999</v>
      </c>
    </row>
    <row r="425" spans="1:4" ht="27" x14ac:dyDescent="0.3">
      <c r="A425" s="7" t="s">
        <v>1092</v>
      </c>
      <c r="B425" s="18" t="s">
        <v>1093</v>
      </c>
      <c r="C425" s="7" t="s">
        <v>396</v>
      </c>
      <c r="D425" s="8">
        <v>0.27900000000000003</v>
      </c>
    </row>
    <row r="426" spans="1:4" ht="27" x14ac:dyDescent="0.3">
      <c r="A426" s="7" t="s">
        <v>1094</v>
      </c>
      <c r="B426" s="18" t="s">
        <v>1095</v>
      </c>
      <c r="C426" s="7" t="s">
        <v>198</v>
      </c>
      <c r="D426" s="8">
        <v>3.9E-2</v>
      </c>
    </row>
    <row r="427" spans="1:4" ht="27" x14ac:dyDescent="0.3">
      <c r="A427" s="7" t="s">
        <v>1096</v>
      </c>
      <c r="B427" s="18" t="s">
        <v>1097</v>
      </c>
      <c r="C427" s="7" t="s">
        <v>396</v>
      </c>
      <c r="D427" s="8">
        <v>5.5E-2</v>
      </c>
    </row>
    <row r="428" spans="1:4" ht="27" x14ac:dyDescent="0.3">
      <c r="A428" s="7" t="s">
        <v>1098</v>
      </c>
      <c r="B428" s="18" t="s">
        <v>1099</v>
      </c>
      <c r="C428" s="7" t="s">
        <v>1100</v>
      </c>
      <c r="D428" s="8">
        <v>0.127</v>
      </c>
    </row>
    <row r="429" spans="1:4" ht="27" x14ac:dyDescent="0.3">
      <c r="A429" s="7" t="s">
        <v>1101</v>
      </c>
      <c r="B429" s="18" t="s">
        <v>1102</v>
      </c>
      <c r="C429" s="17" t="s">
        <v>396</v>
      </c>
      <c r="D429" s="8">
        <v>1.736</v>
      </c>
    </row>
    <row r="430" spans="1:4" ht="27" x14ac:dyDescent="0.3">
      <c r="A430" s="7" t="s">
        <v>1103</v>
      </c>
      <c r="B430" s="18" t="s">
        <v>1104</v>
      </c>
      <c r="C430" s="7" t="s">
        <v>199</v>
      </c>
      <c r="D430" s="8">
        <v>4.8970000000000002</v>
      </c>
    </row>
    <row r="431" spans="1:4" ht="27" x14ac:dyDescent="0.3">
      <c r="A431" s="7" t="s">
        <v>1105</v>
      </c>
      <c r="B431" s="18" t="s">
        <v>1106</v>
      </c>
      <c r="C431" s="7" t="s">
        <v>198</v>
      </c>
      <c r="D431" s="8">
        <v>47.792999999999999</v>
      </c>
    </row>
    <row r="432" spans="1:4" ht="27" x14ac:dyDescent="0.3">
      <c r="A432" s="7" t="s">
        <v>1107</v>
      </c>
      <c r="B432" s="18" t="s">
        <v>1108</v>
      </c>
      <c r="C432" s="7" t="s">
        <v>198</v>
      </c>
      <c r="D432" s="8">
        <v>0.20399999999999999</v>
      </c>
    </row>
    <row r="433" spans="1:4" ht="27" x14ac:dyDescent="0.3">
      <c r="A433" s="7" t="s">
        <v>1109</v>
      </c>
      <c r="B433" s="18" t="s">
        <v>1110</v>
      </c>
      <c r="C433" s="7" t="s">
        <v>198</v>
      </c>
      <c r="D433" s="8">
        <v>0.747</v>
      </c>
    </row>
    <row r="434" spans="1:4" ht="27" x14ac:dyDescent="0.3">
      <c r="A434" s="7" t="s">
        <v>1111</v>
      </c>
      <c r="B434" s="18" t="s">
        <v>1112</v>
      </c>
      <c r="C434" s="7" t="s">
        <v>683</v>
      </c>
      <c r="D434" s="8">
        <v>39.926000000000002</v>
      </c>
    </row>
    <row r="435" spans="1:4" ht="27" x14ac:dyDescent="0.3">
      <c r="A435" s="7" t="s">
        <v>1113</v>
      </c>
      <c r="B435" s="18" t="s">
        <v>1114</v>
      </c>
      <c r="C435" s="7" t="s">
        <v>1115</v>
      </c>
      <c r="D435" s="8">
        <v>612.95699999999999</v>
      </c>
    </row>
    <row r="436" spans="1:4" x14ac:dyDescent="0.3">
      <c r="A436" s="7" t="s">
        <v>1116</v>
      </c>
      <c r="B436" s="18" t="s">
        <v>1117</v>
      </c>
      <c r="C436" s="7" t="s">
        <v>200</v>
      </c>
      <c r="D436" s="8">
        <v>4.8689999999999998</v>
      </c>
    </row>
    <row r="437" spans="1:4" ht="27" x14ac:dyDescent="0.3">
      <c r="A437" s="7" t="s">
        <v>1120</v>
      </c>
      <c r="B437" s="18" t="s">
        <v>1121</v>
      </c>
      <c r="C437" s="7" t="s">
        <v>445</v>
      </c>
      <c r="D437" s="8">
        <v>0.77800000000000002</v>
      </c>
    </row>
    <row r="438" spans="1:4" ht="27" x14ac:dyDescent="0.3">
      <c r="A438" s="7" t="s">
        <v>1122</v>
      </c>
      <c r="B438" s="18" t="s">
        <v>1123</v>
      </c>
      <c r="C438" s="7" t="s">
        <v>284</v>
      </c>
      <c r="D438" s="8">
        <v>2.7290000000000001</v>
      </c>
    </row>
    <row r="439" spans="1:4" ht="27" x14ac:dyDescent="0.3">
      <c r="A439" s="7" t="s">
        <v>1124</v>
      </c>
      <c r="B439" s="18" t="s">
        <v>1125</v>
      </c>
      <c r="C439" s="7" t="s">
        <v>553</v>
      </c>
      <c r="D439" s="8">
        <v>2.6509999999999998</v>
      </c>
    </row>
    <row r="440" spans="1:4" x14ac:dyDescent="0.3">
      <c r="A440" s="7" t="s">
        <v>1126</v>
      </c>
      <c r="B440" s="18" t="s">
        <v>1127</v>
      </c>
      <c r="C440" s="7" t="s">
        <v>458</v>
      </c>
      <c r="D440" s="8">
        <v>2.4E-2</v>
      </c>
    </row>
    <row r="441" spans="1:4" x14ac:dyDescent="0.3">
      <c r="A441" s="7" t="s">
        <v>1128</v>
      </c>
      <c r="B441" s="18" t="s">
        <v>1129</v>
      </c>
      <c r="C441" s="7" t="s">
        <v>209</v>
      </c>
      <c r="D441" s="8">
        <v>75.266999999999996</v>
      </c>
    </row>
    <row r="442" spans="1:4" ht="27" x14ac:dyDescent="0.3">
      <c r="A442" s="7" t="s">
        <v>1132</v>
      </c>
      <c r="B442" s="18" t="s">
        <v>1133</v>
      </c>
      <c r="C442" s="7" t="s">
        <v>1134</v>
      </c>
      <c r="D442" s="8">
        <v>0.22800000000000001</v>
      </c>
    </row>
    <row r="443" spans="1:4" ht="27" x14ac:dyDescent="0.3">
      <c r="A443" s="10" t="s">
        <v>1135</v>
      </c>
      <c r="B443" s="18" t="s">
        <v>1136</v>
      </c>
      <c r="C443" s="10" t="s">
        <v>396</v>
      </c>
      <c r="D443" s="8">
        <v>246.916</v>
      </c>
    </row>
    <row r="444" spans="1:4" x14ac:dyDescent="0.3">
      <c r="A444" s="7" t="s">
        <v>1137</v>
      </c>
      <c r="B444" s="18" t="s">
        <v>1138</v>
      </c>
      <c r="C444" s="7" t="s">
        <v>198</v>
      </c>
      <c r="D444" s="8">
        <v>2.08</v>
      </c>
    </row>
    <row r="445" spans="1:4" x14ac:dyDescent="0.3">
      <c r="A445" s="7" t="s">
        <v>1139</v>
      </c>
      <c r="B445" s="18" t="s">
        <v>1140</v>
      </c>
      <c r="C445" s="7" t="s">
        <v>200</v>
      </c>
      <c r="D445" s="8">
        <v>0.90800000000000003</v>
      </c>
    </row>
    <row r="446" spans="1:4" x14ac:dyDescent="0.3">
      <c r="A446" s="7" t="s">
        <v>1141</v>
      </c>
      <c r="B446" s="18" t="s">
        <v>1142</v>
      </c>
      <c r="C446" s="7" t="s">
        <v>1143</v>
      </c>
      <c r="D446" s="8">
        <v>103.709</v>
      </c>
    </row>
    <row r="447" spans="1:4" ht="27" x14ac:dyDescent="0.3">
      <c r="A447" s="7" t="s">
        <v>1144</v>
      </c>
      <c r="B447" s="18" t="s">
        <v>1145</v>
      </c>
      <c r="C447" s="7" t="s">
        <v>199</v>
      </c>
      <c r="D447" s="8">
        <v>2.867</v>
      </c>
    </row>
    <row r="448" spans="1:4" ht="27" x14ac:dyDescent="0.3">
      <c r="A448" s="7" t="s">
        <v>1146</v>
      </c>
      <c r="B448" s="18" t="s">
        <v>1147</v>
      </c>
      <c r="C448" s="7" t="s">
        <v>198</v>
      </c>
      <c r="D448" s="8">
        <v>44.073999999999998</v>
      </c>
    </row>
    <row r="449" spans="1:4" x14ac:dyDescent="0.3">
      <c r="A449" s="7" t="s">
        <v>1148</v>
      </c>
      <c r="B449" s="18" t="s">
        <v>1149</v>
      </c>
      <c r="C449" s="7" t="s">
        <v>1150</v>
      </c>
      <c r="D449" s="8">
        <v>414.82400000000001</v>
      </c>
    </row>
    <row r="450" spans="1:4" x14ac:dyDescent="0.3">
      <c r="A450" s="7" t="s">
        <v>1151</v>
      </c>
      <c r="B450" s="18" t="s">
        <v>1152</v>
      </c>
      <c r="C450" s="7" t="s">
        <v>199</v>
      </c>
      <c r="D450" s="8">
        <v>77.856999999999999</v>
      </c>
    </row>
    <row r="451" spans="1:4" ht="27" x14ac:dyDescent="0.3">
      <c r="A451" s="7" t="s">
        <v>1153</v>
      </c>
      <c r="B451" s="18" t="s">
        <v>1154</v>
      </c>
      <c r="C451" s="7" t="s">
        <v>199</v>
      </c>
      <c r="D451" s="8">
        <v>84.116</v>
      </c>
    </row>
    <row r="452" spans="1:4" x14ac:dyDescent="0.3">
      <c r="A452" s="7" t="s">
        <v>1155</v>
      </c>
      <c r="B452" s="18" t="s">
        <v>1156</v>
      </c>
      <c r="C452" s="7" t="s">
        <v>198</v>
      </c>
      <c r="D452" s="8">
        <v>1.0229999999999999</v>
      </c>
    </row>
    <row r="453" spans="1:4" x14ac:dyDescent="0.3">
      <c r="A453" s="7" t="s">
        <v>1157</v>
      </c>
      <c r="B453" s="18" t="s">
        <v>1158</v>
      </c>
      <c r="C453" s="7" t="s">
        <v>198</v>
      </c>
      <c r="D453" s="8">
        <v>54.222000000000001</v>
      </c>
    </row>
    <row r="454" spans="1:4" ht="27" x14ac:dyDescent="0.3">
      <c r="A454" s="7" t="s">
        <v>1159</v>
      </c>
      <c r="B454" s="18" t="s">
        <v>1160</v>
      </c>
      <c r="C454" s="7" t="s">
        <v>198</v>
      </c>
      <c r="D454" s="8">
        <v>2.8250000000000002</v>
      </c>
    </row>
    <row r="455" spans="1:4" ht="27" x14ac:dyDescent="0.3">
      <c r="A455" s="10" t="s">
        <v>1161</v>
      </c>
      <c r="B455" s="18" t="s">
        <v>1162</v>
      </c>
      <c r="C455" s="10" t="s">
        <v>199</v>
      </c>
      <c r="D455" s="8">
        <v>40.826999999999998</v>
      </c>
    </row>
    <row r="456" spans="1:4" x14ac:dyDescent="0.3">
      <c r="A456" s="7" t="s">
        <v>1163</v>
      </c>
      <c r="B456" s="18" t="s">
        <v>1164</v>
      </c>
      <c r="C456" s="7" t="s">
        <v>198</v>
      </c>
      <c r="D456" s="8">
        <v>26.891999999999999</v>
      </c>
    </row>
    <row r="457" spans="1:4" x14ac:dyDescent="0.3">
      <c r="A457" s="7" t="s">
        <v>1165</v>
      </c>
      <c r="B457" s="18" t="s">
        <v>1166</v>
      </c>
      <c r="C457" s="7" t="s">
        <v>198</v>
      </c>
      <c r="D457" s="8">
        <v>21.725000000000001</v>
      </c>
    </row>
    <row r="458" spans="1:4" x14ac:dyDescent="0.3">
      <c r="A458" s="7" t="s">
        <v>1167</v>
      </c>
      <c r="B458" s="18" t="s">
        <v>1168</v>
      </c>
      <c r="C458" s="7" t="s">
        <v>199</v>
      </c>
      <c r="D458" s="8">
        <v>80.643000000000001</v>
      </c>
    </row>
    <row r="459" spans="1:4" ht="27" x14ac:dyDescent="0.3">
      <c r="A459" s="7" t="s">
        <v>1169</v>
      </c>
      <c r="B459" s="18" t="s">
        <v>1170</v>
      </c>
      <c r="C459" s="7" t="s">
        <v>198</v>
      </c>
      <c r="D459" s="8">
        <v>23.873999999999999</v>
      </c>
    </row>
    <row r="460" spans="1:4" x14ac:dyDescent="0.3">
      <c r="A460" s="7" t="s">
        <v>1171</v>
      </c>
      <c r="B460" s="18" t="s">
        <v>1172</v>
      </c>
      <c r="C460" s="7" t="s">
        <v>452</v>
      </c>
      <c r="D460" s="8">
        <v>113.34399999999999</v>
      </c>
    </row>
    <row r="461" spans="1:4" ht="27" x14ac:dyDescent="0.3">
      <c r="A461" s="7" t="s">
        <v>1173</v>
      </c>
      <c r="B461" s="18" t="s">
        <v>1174</v>
      </c>
      <c r="C461" s="7" t="s">
        <v>1175</v>
      </c>
      <c r="D461" s="8">
        <v>22.664999999999999</v>
      </c>
    </row>
    <row r="462" spans="1:4" x14ac:dyDescent="0.3">
      <c r="A462" s="7" t="s">
        <v>1176</v>
      </c>
      <c r="B462" s="18" t="s">
        <v>1177</v>
      </c>
      <c r="C462" s="7" t="s">
        <v>273</v>
      </c>
      <c r="D462" s="8">
        <v>44.854999999999997</v>
      </c>
    </row>
    <row r="463" spans="1:4" x14ac:dyDescent="0.3">
      <c r="A463" s="7" t="s">
        <v>1178</v>
      </c>
      <c r="B463" s="18" t="s">
        <v>1179</v>
      </c>
      <c r="C463" s="7" t="s">
        <v>198</v>
      </c>
      <c r="D463" s="8">
        <v>169.374</v>
      </c>
    </row>
    <row r="464" spans="1:4" x14ac:dyDescent="0.3">
      <c r="A464" s="7" t="s">
        <v>1180</v>
      </c>
      <c r="B464" s="18" t="s">
        <v>1181</v>
      </c>
      <c r="C464" s="7" t="s">
        <v>198</v>
      </c>
      <c r="D464" s="8">
        <v>176.042</v>
      </c>
    </row>
    <row r="465" spans="1:4" ht="27" x14ac:dyDescent="0.3">
      <c r="A465" s="10" t="s">
        <v>1182</v>
      </c>
      <c r="B465" s="18" t="s">
        <v>1183</v>
      </c>
      <c r="C465" s="10" t="s">
        <v>273</v>
      </c>
      <c r="D465" s="8">
        <v>22.704000000000001</v>
      </c>
    </row>
    <row r="466" spans="1:4" x14ac:dyDescent="0.3">
      <c r="A466" s="7" t="s">
        <v>1184</v>
      </c>
      <c r="B466" s="18" t="s">
        <v>1185</v>
      </c>
      <c r="C466" s="7" t="s">
        <v>209</v>
      </c>
      <c r="D466" s="8">
        <v>2.6890000000000001</v>
      </c>
    </row>
    <row r="467" spans="1:4" ht="27" x14ac:dyDescent="0.3">
      <c r="A467" s="10" t="s">
        <v>1186</v>
      </c>
      <c r="B467" s="18" t="s">
        <v>1187</v>
      </c>
      <c r="C467" s="10" t="s">
        <v>198</v>
      </c>
      <c r="D467" s="8">
        <v>37.54</v>
      </c>
    </row>
    <row r="468" spans="1:4" x14ac:dyDescent="0.3">
      <c r="A468" s="7" t="s">
        <v>1188</v>
      </c>
      <c r="B468" s="18" t="s">
        <v>1189</v>
      </c>
      <c r="C468" s="7" t="s">
        <v>257</v>
      </c>
      <c r="D468" s="8">
        <v>2618.6210000000001</v>
      </c>
    </row>
    <row r="469" spans="1:4" x14ac:dyDescent="0.3">
      <c r="A469" s="7" t="s">
        <v>1190</v>
      </c>
      <c r="B469" s="18" t="s">
        <v>1191</v>
      </c>
      <c r="C469" s="7" t="s">
        <v>199</v>
      </c>
      <c r="D469" s="8">
        <v>63.206000000000003</v>
      </c>
    </row>
    <row r="470" spans="1:4" ht="27" x14ac:dyDescent="0.3">
      <c r="A470" s="7" t="s">
        <v>1192</v>
      </c>
      <c r="B470" s="18" t="s">
        <v>1193</v>
      </c>
      <c r="C470" s="7" t="s">
        <v>199</v>
      </c>
      <c r="D470" s="8">
        <v>1.929</v>
      </c>
    </row>
    <row r="471" spans="1:4" x14ac:dyDescent="0.3">
      <c r="A471" s="7" t="s">
        <v>1194</v>
      </c>
      <c r="B471" s="18" t="s">
        <v>1195</v>
      </c>
      <c r="C471" s="7" t="s">
        <v>198</v>
      </c>
      <c r="D471" s="8">
        <v>20.18</v>
      </c>
    </row>
    <row r="472" spans="1:4" ht="27" x14ac:dyDescent="0.3">
      <c r="A472" s="7" t="s">
        <v>1196</v>
      </c>
      <c r="B472" s="18" t="s">
        <v>1197</v>
      </c>
      <c r="C472" s="7" t="s">
        <v>257</v>
      </c>
      <c r="D472" s="8">
        <v>33.234999999999999</v>
      </c>
    </row>
    <row r="473" spans="1:4" ht="27" x14ac:dyDescent="0.3">
      <c r="A473" s="7" t="s">
        <v>1198</v>
      </c>
      <c r="B473" s="18" t="s">
        <v>1199</v>
      </c>
      <c r="C473" s="7" t="s">
        <v>257</v>
      </c>
      <c r="D473" s="8">
        <v>0.80600000000000005</v>
      </c>
    </row>
    <row r="474" spans="1:4" ht="27" x14ac:dyDescent="0.3">
      <c r="A474" s="7" t="s">
        <v>1592</v>
      </c>
      <c r="B474" s="18" t="s">
        <v>1593</v>
      </c>
      <c r="C474" s="7" t="s">
        <v>198</v>
      </c>
      <c r="D474" s="8">
        <v>27.434000000000001</v>
      </c>
    </row>
    <row r="475" spans="1:4" x14ac:dyDescent="0.3">
      <c r="A475" s="7" t="s">
        <v>1200</v>
      </c>
      <c r="B475" s="18" t="s">
        <v>1201</v>
      </c>
      <c r="C475" s="7" t="s">
        <v>396</v>
      </c>
      <c r="D475" s="8">
        <v>1106.4549999999999</v>
      </c>
    </row>
    <row r="476" spans="1:4" ht="27" x14ac:dyDescent="0.3">
      <c r="A476" s="7" t="s">
        <v>1202</v>
      </c>
      <c r="B476" s="18" t="s">
        <v>1203</v>
      </c>
      <c r="C476" s="7" t="s">
        <v>257</v>
      </c>
      <c r="D476" s="8">
        <v>4.0720000000000001</v>
      </c>
    </row>
    <row r="477" spans="1:4" ht="27" x14ac:dyDescent="0.3">
      <c r="A477" s="7" t="s">
        <v>1204</v>
      </c>
      <c r="B477" s="18" t="s">
        <v>1205</v>
      </c>
      <c r="C477" s="7" t="s">
        <v>199</v>
      </c>
      <c r="D477" s="8">
        <v>54.03</v>
      </c>
    </row>
    <row r="478" spans="1:4" x14ac:dyDescent="0.3">
      <c r="A478" s="7" t="s">
        <v>1206</v>
      </c>
      <c r="B478" s="18" t="s">
        <v>1207</v>
      </c>
      <c r="C478" s="7" t="s">
        <v>199</v>
      </c>
      <c r="D478" s="8">
        <v>48.395000000000003</v>
      </c>
    </row>
    <row r="479" spans="1:4" ht="27" x14ac:dyDescent="0.3">
      <c r="A479" s="10" t="s">
        <v>1208</v>
      </c>
      <c r="B479" s="18" t="s">
        <v>1209</v>
      </c>
      <c r="C479" s="10" t="s">
        <v>1210</v>
      </c>
      <c r="D479" s="8">
        <v>195.416</v>
      </c>
    </row>
    <row r="480" spans="1:4" x14ac:dyDescent="0.3">
      <c r="A480" s="15" t="s">
        <v>1211</v>
      </c>
      <c r="B480" s="18" t="s">
        <v>1212</v>
      </c>
      <c r="C480" s="7" t="s">
        <v>198</v>
      </c>
      <c r="D480" s="8">
        <v>3.956</v>
      </c>
    </row>
    <row r="481" spans="1:4" x14ac:dyDescent="0.3">
      <c r="A481" s="7" t="s">
        <v>192</v>
      </c>
      <c r="B481" s="18" t="s">
        <v>1213</v>
      </c>
      <c r="C481" s="7" t="s">
        <v>198</v>
      </c>
      <c r="D481" s="8">
        <v>0.96499999999999997</v>
      </c>
    </row>
    <row r="482" spans="1:4" x14ac:dyDescent="0.3">
      <c r="A482" s="7" t="s">
        <v>1214</v>
      </c>
      <c r="B482" s="18" t="s">
        <v>1215</v>
      </c>
      <c r="C482" s="7" t="s">
        <v>199</v>
      </c>
      <c r="D482" s="8">
        <v>75.58</v>
      </c>
    </row>
    <row r="483" spans="1:4" ht="27" x14ac:dyDescent="0.3">
      <c r="A483" s="7" t="s">
        <v>1216</v>
      </c>
      <c r="B483" s="18" t="s">
        <v>1217</v>
      </c>
      <c r="C483" s="7" t="s">
        <v>198</v>
      </c>
      <c r="D483" s="8">
        <v>6.5819999999999999</v>
      </c>
    </row>
    <row r="484" spans="1:4" x14ac:dyDescent="0.3">
      <c r="A484" s="7" t="s">
        <v>195</v>
      </c>
      <c r="B484" s="18" t="s">
        <v>1218</v>
      </c>
      <c r="C484" s="7" t="s">
        <v>688</v>
      </c>
      <c r="D484" s="8">
        <v>1.1200000000000001</v>
      </c>
    </row>
    <row r="485" spans="1:4" ht="27" x14ac:dyDescent="0.3">
      <c r="A485" s="7" t="s">
        <v>1219</v>
      </c>
      <c r="B485" s="18" t="s">
        <v>1220</v>
      </c>
      <c r="C485" s="7" t="s">
        <v>273</v>
      </c>
      <c r="D485" s="8">
        <v>116.23699999999999</v>
      </c>
    </row>
    <row r="486" spans="1:4" x14ac:dyDescent="0.3">
      <c r="A486" s="7" t="s">
        <v>1221</v>
      </c>
      <c r="B486" s="18" t="s">
        <v>1222</v>
      </c>
      <c r="C486" s="7" t="s">
        <v>199</v>
      </c>
      <c r="D486" s="8">
        <v>0.61899999999999999</v>
      </c>
    </row>
    <row r="487" spans="1:4" ht="27" x14ac:dyDescent="0.3">
      <c r="A487" s="7" t="s">
        <v>1223</v>
      </c>
      <c r="B487" s="18" t="s">
        <v>1224</v>
      </c>
      <c r="C487" s="7" t="s">
        <v>209</v>
      </c>
      <c r="D487" s="8">
        <v>47.887999999999998</v>
      </c>
    </row>
    <row r="488" spans="1:4" x14ac:dyDescent="0.3">
      <c r="A488" s="7" t="s">
        <v>1225</v>
      </c>
      <c r="B488" s="18" t="s">
        <v>1226</v>
      </c>
      <c r="C488" s="7" t="s">
        <v>284</v>
      </c>
      <c r="D488" s="8">
        <v>1.512</v>
      </c>
    </row>
    <row r="489" spans="1:4" x14ac:dyDescent="0.3">
      <c r="A489" s="7" t="s">
        <v>1227</v>
      </c>
      <c r="B489" s="18" t="s">
        <v>1228</v>
      </c>
      <c r="C489" s="7" t="s">
        <v>284</v>
      </c>
      <c r="D489" s="8">
        <v>85.372</v>
      </c>
    </row>
    <row r="490" spans="1:4" ht="27" x14ac:dyDescent="0.3">
      <c r="A490" s="7" t="s">
        <v>1229</v>
      </c>
      <c r="B490" s="18" t="s">
        <v>1594</v>
      </c>
      <c r="C490" s="7" t="s">
        <v>442</v>
      </c>
      <c r="D490" s="8">
        <v>4.1559999999999997</v>
      </c>
    </row>
    <row r="491" spans="1:4" ht="27" x14ac:dyDescent="0.3">
      <c r="A491" s="7" t="s">
        <v>1231</v>
      </c>
      <c r="B491" s="18" t="s">
        <v>1232</v>
      </c>
      <c r="C491" s="7" t="s">
        <v>1233</v>
      </c>
      <c r="D491" s="8">
        <v>503.98399999999998</v>
      </c>
    </row>
    <row r="492" spans="1:4" ht="27" x14ac:dyDescent="0.3">
      <c r="A492" s="7" t="s">
        <v>1529</v>
      </c>
      <c r="B492" s="18" t="s">
        <v>1595</v>
      </c>
      <c r="C492" s="7" t="s">
        <v>273</v>
      </c>
      <c r="D492" s="8">
        <v>199.55199999999999</v>
      </c>
    </row>
    <row r="493" spans="1:4" ht="27" x14ac:dyDescent="0.3">
      <c r="A493" s="7" t="s">
        <v>1596</v>
      </c>
      <c r="B493" s="18" t="s">
        <v>1597</v>
      </c>
      <c r="C493" s="7" t="s">
        <v>198</v>
      </c>
      <c r="D493" s="8">
        <v>200.87</v>
      </c>
    </row>
    <row r="494" spans="1:4" ht="27" x14ac:dyDescent="0.3">
      <c r="A494" s="7" t="s">
        <v>1234</v>
      </c>
      <c r="B494" s="18" t="s">
        <v>1235</v>
      </c>
      <c r="C494" s="7" t="s">
        <v>198</v>
      </c>
      <c r="D494" s="8">
        <v>49.838000000000001</v>
      </c>
    </row>
    <row r="495" spans="1:4" x14ac:dyDescent="0.3">
      <c r="A495" s="7" t="s">
        <v>1236</v>
      </c>
      <c r="B495" s="18" t="s">
        <v>1237</v>
      </c>
      <c r="C495" s="7" t="s">
        <v>311</v>
      </c>
      <c r="D495" s="8">
        <v>2.476</v>
      </c>
    </row>
    <row r="496" spans="1:4" x14ac:dyDescent="0.3">
      <c r="A496" s="7" t="s">
        <v>1238</v>
      </c>
      <c r="B496" s="18" t="s">
        <v>1239</v>
      </c>
      <c r="C496" s="7" t="s">
        <v>198</v>
      </c>
      <c r="D496" s="8">
        <v>96.072999999999993</v>
      </c>
    </row>
    <row r="497" spans="1:4" x14ac:dyDescent="0.3">
      <c r="A497" s="7" t="s">
        <v>1240</v>
      </c>
      <c r="B497" s="18" t="s">
        <v>1241</v>
      </c>
      <c r="C497" s="7" t="s">
        <v>405</v>
      </c>
      <c r="D497" s="8">
        <v>26.698</v>
      </c>
    </row>
    <row r="498" spans="1:4" x14ac:dyDescent="0.3">
      <c r="A498" s="7" t="s">
        <v>1242</v>
      </c>
      <c r="B498" s="18" t="s">
        <v>1243</v>
      </c>
      <c r="C498" s="7" t="s">
        <v>442</v>
      </c>
      <c r="D498" s="8">
        <v>2.218</v>
      </c>
    </row>
    <row r="499" spans="1:4" x14ac:dyDescent="0.3">
      <c r="A499" s="7" t="s">
        <v>1244</v>
      </c>
      <c r="B499" s="18" t="s">
        <v>1245</v>
      </c>
      <c r="C499" s="7" t="s">
        <v>200</v>
      </c>
      <c r="D499" s="8">
        <v>36.31</v>
      </c>
    </row>
    <row r="500" spans="1:4" x14ac:dyDescent="0.3">
      <c r="A500" s="7" t="s">
        <v>1246</v>
      </c>
      <c r="B500" s="18" t="s">
        <v>1247</v>
      </c>
      <c r="C500" s="7" t="s">
        <v>1248</v>
      </c>
      <c r="D500" s="8">
        <v>34.209000000000003</v>
      </c>
    </row>
    <row r="501" spans="1:4" ht="27" x14ac:dyDescent="0.3">
      <c r="A501" s="7" t="s">
        <v>1249</v>
      </c>
      <c r="B501" s="18" t="s">
        <v>1250</v>
      </c>
      <c r="C501" s="7" t="s">
        <v>1251</v>
      </c>
      <c r="D501" s="8">
        <v>230.07400000000001</v>
      </c>
    </row>
    <row r="502" spans="1:4" ht="27" x14ac:dyDescent="0.3">
      <c r="A502" s="7" t="s">
        <v>1252</v>
      </c>
      <c r="B502" s="18" t="s">
        <v>1253</v>
      </c>
      <c r="C502" s="7" t="s">
        <v>198</v>
      </c>
      <c r="D502" s="8">
        <v>10.128</v>
      </c>
    </row>
    <row r="503" spans="1:4" x14ac:dyDescent="0.3">
      <c r="A503" s="7" t="s">
        <v>1254</v>
      </c>
      <c r="B503" s="18" t="s">
        <v>1255</v>
      </c>
      <c r="C503" s="7" t="s">
        <v>209</v>
      </c>
      <c r="D503" s="8">
        <v>4119.79</v>
      </c>
    </row>
    <row r="504" spans="1:4" x14ac:dyDescent="0.3">
      <c r="A504" s="7" t="s">
        <v>1256</v>
      </c>
      <c r="B504" s="18" t="s">
        <v>1257</v>
      </c>
      <c r="C504" s="7" t="s">
        <v>209</v>
      </c>
      <c r="D504" s="8">
        <v>36674.535000000003</v>
      </c>
    </row>
    <row r="505" spans="1:4" x14ac:dyDescent="0.3">
      <c r="A505" s="7" t="s">
        <v>1258</v>
      </c>
      <c r="B505" s="18" t="s">
        <v>1259</v>
      </c>
      <c r="C505" s="7" t="s">
        <v>198</v>
      </c>
      <c r="D505" s="8">
        <v>155.18199999999999</v>
      </c>
    </row>
    <row r="506" spans="1:4" ht="27" x14ac:dyDescent="0.3">
      <c r="A506" s="7" t="s">
        <v>1598</v>
      </c>
      <c r="B506" s="18" t="s">
        <v>1599</v>
      </c>
      <c r="C506" s="7" t="s">
        <v>273</v>
      </c>
      <c r="D506" s="8">
        <v>2273.7600000000002</v>
      </c>
    </row>
    <row r="507" spans="1:4" ht="27" x14ac:dyDescent="0.3">
      <c r="A507" s="7" t="s">
        <v>1260</v>
      </c>
      <c r="B507" s="18" t="s">
        <v>1261</v>
      </c>
      <c r="C507" s="7" t="s">
        <v>209</v>
      </c>
      <c r="D507" s="8">
        <v>633.38800000000003</v>
      </c>
    </row>
    <row r="508" spans="1:4" x14ac:dyDescent="0.3">
      <c r="A508" s="7" t="s">
        <v>193</v>
      </c>
      <c r="B508" s="18" t="s">
        <v>1262</v>
      </c>
      <c r="C508" s="7" t="s">
        <v>200</v>
      </c>
      <c r="D508" s="8">
        <v>0.249</v>
      </c>
    </row>
    <row r="509" spans="1:4" x14ac:dyDescent="0.3">
      <c r="A509" s="7" t="s">
        <v>1263</v>
      </c>
      <c r="B509" s="18" t="s">
        <v>1262</v>
      </c>
      <c r="C509" s="7" t="s">
        <v>209</v>
      </c>
      <c r="D509" s="8">
        <v>2.4900000000000002</v>
      </c>
    </row>
    <row r="510" spans="1:4" x14ac:dyDescent="0.3">
      <c r="A510" s="7" t="s">
        <v>1264</v>
      </c>
      <c r="B510" s="18" t="s">
        <v>1265</v>
      </c>
      <c r="C510" s="7" t="s">
        <v>209</v>
      </c>
      <c r="D510" s="8">
        <v>152.71299999999999</v>
      </c>
    </row>
    <row r="511" spans="1:4" ht="27" x14ac:dyDescent="0.3">
      <c r="A511" s="7" t="s">
        <v>1266</v>
      </c>
      <c r="B511" s="18" t="s">
        <v>1267</v>
      </c>
      <c r="C511" s="7" t="s">
        <v>318</v>
      </c>
      <c r="D511" s="8">
        <v>2.9060000000000001</v>
      </c>
    </row>
    <row r="512" spans="1:4" x14ac:dyDescent="0.3">
      <c r="A512" s="7" t="s">
        <v>1268</v>
      </c>
      <c r="B512" s="18" t="s">
        <v>1269</v>
      </c>
      <c r="C512" s="7" t="s">
        <v>396</v>
      </c>
      <c r="D512" s="8">
        <v>0.153</v>
      </c>
    </row>
    <row r="513" spans="1:4" ht="27" x14ac:dyDescent="0.3">
      <c r="A513" s="7" t="s">
        <v>1270</v>
      </c>
      <c r="B513" s="18" t="s">
        <v>1271</v>
      </c>
      <c r="C513" s="7" t="s">
        <v>198</v>
      </c>
      <c r="D513" s="8">
        <v>12.554</v>
      </c>
    </row>
    <row r="514" spans="1:4" x14ac:dyDescent="0.3">
      <c r="A514" s="7" t="s">
        <v>1272</v>
      </c>
      <c r="B514" s="18" t="s">
        <v>1273</v>
      </c>
      <c r="C514" s="17" t="s">
        <v>1274</v>
      </c>
      <c r="D514" s="8">
        <v>17571.621999999999</v>
      </c>
    </row>
    <row r="515" spans="1:4" x14ac:dyDescent="0.3">
      <c r="A515" s="7" t="s">
        <v>1275</v>
      </c>
      <c r="B515" s="18" t="s">
        <v>1276</v>
      </c>
      <c r="C515" s="7" t="s">
        <v>198</v>
      </c>
      <c r="D515" s="8">
        <v>0.13800000000000001</v>
      </c>
    </row>
    <row r="516" spans="1:4" x14ac:dyDescent="0.3">
      <c r="A516" s="7" t="s">
        <v>1277</v>
      </c>
      <c r="B516" s="18" t="s">
        <v>1278</v>
      </c>
      <c r="C516" s="7" t="s">
        <v>199</v>
      </c>
      <c r="D516" s="8">
        <v>2109.3519999999999</v>
      </c>
    </row>
    <row r="517" spans="1:4" x14ac:dyDescent="0.3">
      <c r="A517" s="10" t="s">
        <v>1279</v>
      </c>
      <c r="B517" s="18" t="s">
        <v>1280</v>
      </c>
      <c r="C517" s="10" t="s">
        <v>198</v>
      </c>
      <c r="D517" s="8">
        <v>50.264000000000003</v>
      </c>
    </row>
    <row r="518" spans="1:4" x14ac:dyDescent="0.3">
      <c r="A518" s="7" t="s">
        <v>1281</v>
      </c>
      <c r="B518" s="18" t="s">
        <v>1282</v>
      </c>
      <c r="C518" s="7" t="s">
        <v>200</v>
      </c>
      <c r="D518" s="8">
        <v>79.888999999999996</v>
      </c>
    </row>
    <row r="519" spans="1:4" x14ac:dyDescent="0.3">
      <c r="A519" s="7" t="s">
        <v>1283</v>
      </c>
      <c r="B519" s="18" t="s">
        <v>1284</v>
      </c>
      <c r="C519" s="7" t="s">
        <v>199</v>
      </c>
      <c r="D519" s="8">
        <v>52.164999999999999</v>
      </c>
    </row>
    <row r="520" spans="1:4" ht="27" x14ac:dyDescent="0.3">
      <c r="A520" s="7" t="s">
        <v>1285</v>
      </c>
      <c r="B520" s="18" t="s">
        <v>1286</v>
      </c>
      <c r="C520" s="7" t="s">
        <v>200</v>
      </c>
      <c r="D520" s="8">
        <v>27.805</v>
      </c>
    </row>
    <row r="521" spans="1:4" ht="27" x14ac:dyDescent="0.3">
      <c r="A521" s="7" t="s">
        <v>1287</v>
      </c>
      <c r="B521" s="18" t="s">
        <v>1288</v>
      </c>
      <c r="C521" s="10" t="s">
        <v>198</v>
      </c>
      <c r="D521" s="8">
        <v>5.7439999999999998</v>
      </c>
    </row>
    <row r="522" spans="1:4" x14ac:dyDescent="0.3">
      <c r="A522" s="10" t="s">
        <v>1289</v>
      </c>
      <c r="B522" s="18" t="s">
        <v>1290</v>
      </c>
      <c r="C522" s="10" t="s">
        <v>198</v>
      </c>
      <c r="D522" s="8">
        <v>28.161999999999999</v>
      </c>
    </row>
    <row r="523" spans="1:4" x14ac:dyDescent="0.3">
      <c r="A523" s="7" t="s">
        <v>1291</v>
      </c>
      <c r="B523" s="18" t="s">
        <v>1292</v>
      </c>
      <c r="C523" s="7" t="s">
        <v>199</v>
      </c>
      <c r="D523" s="8">
        <v>63.515000000000001</v>
      </c>
    </row>
    <row r="524" spans="1:4" x14ac:dyDescent="0.3">
      <c r="A524" s="7" t="s">
        <v>1293</v>
      </c>
      <c r="B524" s="18" t="s">
        <v>1294</v>
      </c>
      <c r="C524" s="7" t="s">
        <v>199</v>
      </c>
      <c r="D524" s="8">
        <v>60.081000000000003</v>
      </c>
    </row>
    <row r="525" spans="1:4" x14ac:dyDescent="0.3">
      <c r="A525" s="7" t="s">
        <v>1295</v>
      </c>
      <c r="B525" s="18" t="s">
        <v>1296</v>
      </c>
      <c r="C525" s="7" t="s">
        <v>199</v>
      </c>
      <c r="D525" s="8">
        <v>118.518</v>
      </c>
    </row>
    <row r="526" spans="1:4" x14ac:dyDescent="0.3">
      <c r="A526" s="7" t="s">
        <v>1297</v>
      </c>
      <c r="B526" s="18" t="s">
        <v>1298</v>
      </c>
      <c r="C526" s="7" t="s">
        <v>199</v>
      </c>
      <c r="D526" s="8">
        <v>70.793000000000006</v>
      </c>
    </row>
    <row r="527" spans="1:4" ht="27" x14ac:dyDescent="0.3">
      <c r="A527" s="10" t="s">
        <v>1299</v>
      </c>
      <c r="B527" s="18" t="s">
        <v>1300</v>
      </c>
      <c r="C527" s="10" t="s">
        <v>198</v>
      </c>
      <c r="D527" s="8">
        <v>12.617000000000001</v>
      </c>
    </row>
    <row r="528" spans="1:4" x14ac:dyDescent="0.3">
      <c r="A528" s="7" t="s">
        <v>1301</v>
      </c>
      <c r="B528" s="18" t="s">
        <v>1302</v>
      </c>
      <c r="C528" s="7" t="s">
        <v>198</v>
      </c>
      <c r="D528" s="8">
        <v>295.52300000000002</v>
      </c>
    </row>
    <row r="529" spans="1:4" x14ac:dyDescent="0.3">
      <c r="A529" s="10" t="s">
        <v>1303</v>
      </c>
      <c r="B529" s="18" t="s">
        <v>1304</v>
      </c>
      <c r="C529" s="10" t="s">
        <v>200</v>
      </c>
      <c r="D529" s="8">
        <v>59.67</v>
      </c>
    </row>
    <row r="530" spans="1:4" ht="27" x14ac:dyDescent="0.3">
      <c r="A530" s="7" t="s">
        <v>1600</v>
      </c>
      <c r="B530" s="18" t="s">
        <v>1601</v>
      </c>
      <c r="C530" s="7" t="s">
        <v>198</v>
      </c>
      <c r="D530" s="8">
        <v>113.383</v>
      </c>
    </row>
    <row r="531" spans="1:4" ht="27" x14ac:dyDescent="0.3">
      <c r="A531" s="10" t="s">
        <v>1305</v>
      </c>
      <c r="B531" s="18" t="s">
        <v>1306</v>
      </c>
      <c r="C531" s="10" t="s">
        <v>1307</v>
      </c>
      <c r="D531" s="8">
        <v>42.869</v>
      </c>
    </row>
    <row r="532" spans="1:4" x14ac:dyDescent="0.3">
      <c r="A532" s="7" t="s">
        <v>1308</v>
      </c>
      <c r="B532" s="18" t="s">
        <v>1309</v>
      </c>
      <c r="C532" s="7" t="s">
        <v>199</v>
      </c>
      <c r="D532" s="8">
        <v>94.411000000000001</v>
      </c>
    </row>
    <row r="533" spans="1:4" x14ac:dyDescent="0.3">
      <c r="A533" s="7" t="s">
        <v>1310</v>
      </c>
      <c r="B533" s="18" t="s">
        <v>1311</v>
      </c>
      <c r="C533" s="7" t="s">
        <v>198</v>
      </c>
      <c r="D533" s="8">
        <v>220.87700000000001</v>
      </c>
    </row>
    <row r="534" spans="1:4" x14ac:dyDescent="0.3">
      <c r="A534" s="7" t="s">
        <v>1312</v>
      </c>
      <c r="B534" s="18" t="s">
        <v>1313</v>
      </c>
      <c r="C534" s="7" t="s">
        <v>405</v>
      </c>
      <c r="D534" s="8">
        <v>352.65199999999999</v>
      </c>
    </row>
    <row r="535" spans="1:4" ht="27" x14ac:dyDescent="0.3">
      <c r="A535" s="7" t="s">
        <v>1314</v>
      </c>
      <c r="B535" s="18" t="s">
        <v>1315</v>
      </c>
      <c r="C535" s="7" t="s">
        <v>1316</v>
      </c>
      <c r="D535" s="8">
        <v>51.438000000000002</v>
      </c>
    </row>
    <row r="536" spans="1:4" x14ac:dyDescent="0.3">
      <c r="A536" s="7" t="s">
        <v>1317</v>
      </c>
      <c r="B536" s="18" t="s">
        <v>1318</v>
      </c>
      <c r="C536" s="7" t="s">
        <v>198</v>
      </c>
      <c r="D536" s="8">
        <v>10.391999999999999</v>
      </c>
    </row>
    <row r="537" spans="1:4" x14ac:dyDescent="0.3">
      <c r="A537" s="7" t="s">
        <v>1319</v>
      </c>
      <c r="B537" s="18" t="s">
        <v>1320</v>
      </c>
      <c r="C537" s="7" t="s">
        <v>198</v>
      </c>
      <c r="D537" s="8">
        <v>47.927999999999997</v>
      </c>
    </row>
    <row r="538" spans="1:4" x14ac:dyDescent="0.3">
      <c r="A538" s="7" t="s">
        <v>1321</v>
      </c>
      <c r="B538" s="18" t="s">
        <v>1322</v>
      </c>
      <c r="C538" s="7" t="s">
        <v>659</v>
      </c>
      <c r="D538" s="8">
        <v>412.00700000000001</v>
      </c>
    </row>
    <row r="539" spans="1:4" x14ac:dyDescent="0.3">
      <c r="A539" s="7" t="s">
        <v>1323</v>
      </c>
      <c r="B539" s="18" t="s">
        <v>1324</v>
      </c>
      <c r="C539" s="7" t="s">
        <v>273</v>
      </c>
      <c r="D539" s="8">
        <v>0.97899999999999998</v>
      </c>
    </row>
    <row r="540" spans="1:4" ht="27" x14ac:dyDescent="0.3">
      <c r="A540" s="7" t="s">
        <v>1325</v>
      </c>
      <c r="B540" s="18" t="s">
        <v>1326</v>
      </c>
      <c r="C540" s="7" t="s">
        <v>273</v>
      </c>
      <c r="D540" s="8">
        <v>312.93799999999999</v>
      </c>
    </row>
    <row r="541" spans="1:4" ht="27" x14ac:dyDescent="0.3">
      <c r="A541" s="10" t="s">
        <v>1327</v>
      </c>
      <c r="B541" s="18" t="s">
        <v>1328</v>
      </c>
      <c r="C541" s="10" t="s">
        <v>198</v>
      </c>
      <c r="D541" s="8">
        <v>32.106999999999999</v>
      </c>
    </row>
    <row r="542" spans="1:4" ht="27" x14ac:dyDescent="0.3">
      <c r="A542" s="7" t="s">
        <v>1329</v>
      </c>
      <c r="B542" s="18" t="s">
        <v>1330</v>
      </c>
      <c r="C542" s="7" t="s">
        <v>199</v>
      </c>
      <c r="D542" s="8">
        <v>105.855</v>
      </c>
    </row>
    <row r="543" spans="1:4" ht="27" x14ac:dyDescent="0.3">
      <c r="A543" s="7" t="s">
        <v>1331</v>
      </c>
      <c r="B543" s="18" t="s">
        <v>1332</v>
      </c>
      <c r="C543" s="7" t="s">
        <v>199</v>
      </c>
      <c r="D543" s="8">
        <v>79.180999999999997</v>
      </c>
    </row>
    <row r="544" spans="1:4" x14ac:dyDescent="0.3">
      <c r="A544" s="7" t="s">
        <v>1333</v>
      </c>
      <c r="B544" s="18" t="s">
        <v>1334</v>
      </c>
      <c r="C544" s="7" t="s">
        <v>442</v>
      </c>
      <c r="D544" s="8">
        <v>1426.3520000000001</v>
      </c>
    </row>
    <row r="545" spans="1:4" x14ac:dyDescent="0.3">
      <c r="A545" s="7" t="s">
        <v>1335</v>
      </c>
      <c r="B545" s="18" t="s">
        <v>1336</v>
      </c>
      <c r="C545" s="7" t="s">
        <v>198</v>
      </c>
      <c r="D545" s="8">
        <v>3.8849999999999998</v>
      </c>
    </row>
    <row r="546" spans="1:4" ht="27" x14ac:dyDescent="0.3">
      <c r="A546" s="7" t="s">
        <v>1337</v>
      </c>
      <c r="B546" s="18" t="s">
        <v>1338</v>
      </c>
      <c r="C546" s="7" t="s">
        <v>198</v>
      </c>
      <c r="D546" s="8">
        <v>4.8840000000000003</v>
      </c>
    </row>
    <row r="547" spans="1:4" ht="27" x14ac:dyDescent="0.3">
      <c r="A547" s="7" t="s">
        <v>1339</v>
      </c>
      <c r="B547" s="18" t="s">
        <v>1340</v>
      </c>
      <c r="C547" s="7" t="s">
        <v>198</v>
      </c>
      <c r="D547" s="8">
        <v>3075.8270000000002</v>
      </c>
    </row>
    <row r="548" spans="1:4" x14ac:dyDescent="0.3">
      <c r="A548" s="7" t="s">
        <v>1341</v>
      </c>
      <c r="B548" s="18" t="s">
        <v>1342</v>
      </c>
      <c r="C548" s="7" t="s">
        <v>199</v>
      </c>
      <c r="D548" s="8">
        <v>11.96</v>
      </c>
    </row>
    <row r="549" spans="1:4" x14ac:dyDescent="0.3">
      <c r="A549" s="7" t="s">
        <v>1343</v>
      </c>
      <c r="B549" s="18" t="s">
        <v>1344</v>
      </c>
      <c r="C549" s="7" t="s">
        <v>553</v>
      </c>
      <c r="D549" s="8">
        <v>84.956999999999994</v>
      </c>
    </row>
    <row r="550" spans="1:4" x14ac:dyDescent="0.3">
      <c r="A550" s="10" t="s">
        <v>1345</v>
      </c>
      <c r="B550" s="18" t="s">
        <v>1346</v>
      </c>
      <c r="C550" s="10" t="s">
        <v>198</v>
      </c>
      <c r="D550" s="8">
        <v>8.3949999999999996</v>
      </c>
    </row>
    <row r="551" spans="1:4" ht="27" x14ac:dyDescent="0.3">
      <c r="A551" s="7" t="s">
        <v>1347</v>
      </c>
      <c r="B551" s="18" t="s">
        <v>1348</v>
      </c>
      <c r="C551" s="7" t="s">
        <v>522</v>
      </c>
      <c r="D551" s="8">
        <v>10.49</v>
      </c>
    </row>
    <row r="552" spans="1:4" ht="27" x14ac:dyDescent="0.3">
      <c r="A552" s="7" t="s">
        <v>1349</v>
      </c>
      <c r="B552" s="18" t="s">
        <v>1350</v>
      </c>
      <c r="C552" s="7" t="s">
        <v>951</v>
      </c>
      <c r="D552" s="8">
        <v>52.45</v>
      </c>
    </row>
    <row r="553" spans="1:4" ht="27" x14ac:dyDescent="0.3">
      <c r="A553" s="7" t="s">
        <v>1351</v>
      </c>
      <c r="B553" s="18" t="s">
        <v>1352</v>
      </c>
      <c r="C553" s="7" t="s">
        <v>1353</v>
      </c>
      <c r="D553" s="8">
        <v>20.98</v>
      </c>
    </row>
    <row r="554" spans="1:4" ht="27" x14ac:dyDescent="0.3">
      <c r="A554" s="7" t="s">
        <v>1354</v>
      </c>
      <c r="B554" s="18" t="s">
        <v>1355</v>
      </c>
      <c r="C554" s="7" t="s">
        <v>522</v>
      </c>
      <c r="D554" s="8">
        <v>52.45</v>
      </c>
    </row>
    <row r="555" spans="1:4" x14ac:dyDescent="0.3">
      <c r="A555" s="15" t="s">
        <v>1356</v>
      </c>
      <c r="B555" s="18" t="s">
        <v>1357</v>
      </c>
      <c r="C555" s="7" t="s">
        <v>198</v>
      </c>
      <c r="D555" s="8">
        <v>1.042</v>
      </c>
    </row>
    <row r="556" spans="1:4" x14ac:dyDescent="0.3">
      <c r="A556" s="15" t="s">
        <v>1358</v>
      </c>
      <c r="B556" s="18" t="s">
        <v>1359</v>
      </c>
      <c r="C556" s="7" t="s">
        <v>198</v>
      </c>
      <c r="D556" s="8">
        <v>1.042</v>
      </c>
    </row>
    <row r="557" spans="1:4" x14ac:dyDescent="0.3">
      <c r="A557" s="7" t="s">
        <v>1360</v>
      </c>
      <c r="B557" s="18" t="s">
        <v>1361</v>
      </c>
      <c r="C557" s="7" t="s">
        <v>198</v>
      </c>
      <c r="D557" s="8">
        <v>1.7999999999999999E-2</v>
      </c>
    </row>
    <row r="558" spans="1:4" ht="27" x14ac:dyDescent="0.3">
      <c r="A558" s="7" t="s">
        <v>1364</v>
      </c>
      <c r="B558" s="18" t="s">
        <v>1365</v>
      </c>
      <c r="C558" s="7" t="s">
        <v>200</v>
      </c>
      <c r="D558" s="8">
        <v>0.22500000000000001</v>
      </c>
    </row>
    <row r="559" spans="1:4" ht="27" x14ac:dyDescent="0.3">
      <c r="A559" s="7" t="s">
        <v>1366</v>
      </c>
      <c r="B559" s="18" t="s">
        <v>1367</v>
      </c>
      <c r="C559" s="7" t="s">
        <v>198</v>
      </c>
      <c r="D559" s="8">
        <v>0.69299999999999995</v>
      </c>
    </row>
    <row r="560" spans="1:4" x14ac:dyDescent="0.3">
      <c r="A560" s="7" t="s">
        <v>1368</v>
      </c>
      <c r="B560" s="18" t="s">
        <v>1369</v>
      </c>
      <c r="C560" s="7" t="s">
        <v>1134</v>
      </c>
      <c r="D560" s="8">
        <v>0.69199999999999995</v>
      </c>
    </row>
    <row r="561" spans="1:4" x14ac:dyDescent="0.3">
      <c r="A561" s="7" t="s">
        <v>1374</v>
      </c>
      <c r="B561" s="18" t="s">
        <v>1375</v>
      </c>
      <c r="C561" s="7" t="s">
        <v>1376</v>
      </c>
      <c r="D561" s="8">
        <v>45942.627999999997</v>
      </c>
    </row>
    <row r="562" spans="1:4" x14ac:dyDescent="0.3">
      <c r="A562" s="7" t="s">
        <v>191</v>
      </c>
      <c r="B562" s="18" t="s">
        <v>1377</v>
      </c>
      <c r="C562" s="7" t="s">
        <v>199</v>
      </c>
      <c r="D562" s="8">
        <v>295.51799999999997</v>
      </c>
    </row>
    <row r="563" spans="1:4" ht="27" x14ac:dyDescent="0.3">
      <c r="A563" s="7" t="s">
        <v>1378</v>
      </c>
      <c r="B563" s="18" t="s">
        <v>1379</v>
      </c>
      <c r="C563" s="7" t="s">
        <v>452</v>
      </c>
      <c r="D563" s="8">
        <v>53.558999999999997</v>
      </c>
    </row>
    <row r="564" spans="1:4" ht="27" x14ac:dyDescent="0.3">
      <c r="A564" s="7" t="s">
        <v>1380</v>
      </c>
      <c r="B564" s="18" t="s">
        <v>1381</v>
      </c>
      <c r="C564" s="13" t="s">
        <v>1382</v>
      </c>
      <c r="D564" s="8">
        <v>139.833</v>
      </c>
    </row>
    <row r="565" spans="1:4" ht="27" x14ac:dyDescent="0.3">
      <c r="A565" s="7" t="s">
        <v>1383</v>
      </c>
      <c r="B565" s="18" t="s">
        <v>1384</v>
      </c>
      <c r="C565" s="7" t="s">
        <v>360</v>
      </c>
      <c r="D565" s="8">
        <v>1.056</v>
      </c>
    </row>
    <row r="566" spans="1:4" x14ac:dyDescent="0.3">
      <c r="A566" s="7" t="s">
        <v>1385</v>
      </c>
      <c r="B566" s="18" t="s">
        <v>1386</v>
      </c>
      <c r="C566" s="7" t="s">
        <v>1042</v>
      </c>
      <c r="D566" s="8">
        <v>30.553999999999998</v>
      </c>
    </row>
    <row r="567" spans="1:4" x14ac:dyDescent="0.3">
      <c r="A567" s="7" t="s">
        <v>1387</v>
      </c>
      <c r="B567" s="18" t="s">
        <v>1388</v>
      </c>
      <c r="C567" s="7" t="s">
        <v>1042</v>
      </c>
      <c r="D567" s="8">
        <v>11.337999999999999</v>
      </c>
    </row>
    <row r="568" spans="1:4" x14ac:dyDescent="0.3">
      <c r="A568" s="7" t="s">
        <v>1389</v>
      </c>
      <c r="B568" s="18" t="s">
        <v>1390</v>
      </c>
      <c r="C568" s="7" t="s">
        <v>1042</v>
      </c>
      <c r="D568" s="8">
        <v>32.512999999999998</v>
      </c>
    </row>
    <row r="569" spans="1:4" x14ac:dyDescent="0.3">
      <c r="A569" s="7" t="s">
        <v>1393</v>
      </c>
      <c r="B569" s="18" t="s">
        <v>1394</v>
      </c>
      <c r="C569" s="7" t="s">
        <v>1042</v>
      </c>
      <c r="D569" s="8">
        <v>44.98</v>
      </c>
    </row>
    <row r="570" spans="1:4" x14ac:dyDescent="0.3">
      <c r="A570" s="7" t="s">
        <v>1395</v>
      </c>
      <c r="B570" s="18" t="s">
        <v>1396</v>
      </c>
      <c r="C570" s="7" t="s">
        <v>1042</v>
      </c>
      <c r="D570" s="8">
        <v>7.1420000000000003</v>
      </c>
    </row>
    <row r="571" spans="1:4" x14ac:dyDescent="0.3">
      <c r="A571" s="7" t="s">
        <v>1401</v>
      </c>
      <c r="B571" s="18" t="s">
        <v>1402</v>
      </c>
      <c r="C571" s="14" t="s">
        <v>1042</v>
      </c>
      <c r="D571" s="8">
        <v>6.673</v>
      </c>
    </row>
    <row r="572" spans="1:4" x14ac:dyDescent="0.3">
      <c r="A572" s="7" t="s">
        <v>1403</v>
      </c>
      <c r="B572" s="18" t="s">
        <v>1404</v>
      </c>
      <c r="C572" s="14" t="s">
        <v>1042</v>
      </c>
      <c r="D572" s="8">
        <v>40.626758139058119</v>
      </c>
    </row>
    <row r="573" spans="1:4" ht="27" x14ac:dyDescent="0.3">
      <c r="A573" s="7" t="s">
        <v>1405</v>
      </c>
      <c r="B573" s="18" t="s">
        <v>1406</v>
      </c>
      <c r="C573" s="14" t="s">
        <v>1042</v>
      </c>
      <c r="D573" s="8">
        <v>115.542</v>
      </c>
    </row>
    <row r="574" spans="1:4" ht="27" x14ac:dyDescent="0.3">
      <c r="A574" s="7" t="s">
        <v>1407</v>
      </c>
      <c r="B574" s="18" t="s">
        <v>1408</v>
      </c>
      <c r="C574" s="14" t="s">
        <v>1042</v>
      </c>
      <c r="D574" s="8">
        <v>140.98500000000001</v>
      </c>
    </row>
    <row r="575" spans="1:4" ht="27" x14ac:dyDescent="0.3">
      <c r="A575" s="7" t="s">
        <v>1409</v>
      </c>
      <c r="B575" s="18" t="s">
        <v>1410</v>
      </c>
      <c r="C575" s="14" t="s">
        <v>1042</v>
      </c>
      <c r="D575" s="8">
        <v>76.474999999999994</v>
      </c>
    </row>
    <row r="576" spans="1:4" x14ac:dyDescent="0.3">
      <c r="A576" s="7" t="s">
        <v>1411</v>
      </c>
      <c r="B576" s="18" t="s">
        <v>1412</v>
      </c>
      <c r="C576" s="10" t="s">
        <v>198</v>
      </c>
      <c r="D576" s="8">
        <v>18.170999999999999</v>
      </c>
    </row>
    <row r="577" spans="1:4" ht="27" x14ac:dyDescent="0.3">
      <c r="A577" s="7" t="s">
        <v>1413</v>
      </c>
      <c r="B577" s="18" t="s">
        <v>1414</v>
      </c>
      <c r="C577" s="14" t="s">
        <v>1042</v>
      </c>
      <c r="D577" s="8">
        <v>140.87899999999999</v>
      </c>
    </row>
    <row r="578" spans="1:4" x14ac:dyDescent="0.3">
      <c r="A578" s="7" t="s">
        <v>1415</v>
      </c>
      <c r="B578" s="18" t="s">
        <v>1416</v>
      </c>
      <c r="C578" s="14" t="s">
        <v>1042</v>
      </c>
      <c r="D578" s="8">
        <v>114.935</v>
      </c>
    </row>
    <row r="579" spans="1:4" x14ac:dyDescent="0.3">
      <c r="A579" s="7" t="s">
        <v>1417</v>
      </c>
      <c r="B579" s="18" t="s">
        <v>1418</v>
      </c>
      <c r="C579" s="14" t="s">
        <v>1042</v>
      </c>
      <c r="D579" s="8">
        <v>644.48</v>
      </c>
    </row>
    <row r="580" spans="1:4" x14ac:dyDescent="0.3">
      <c r="A580" s="7" t="s">
        <v>1419</v>
      </c>
      <c r="B580" s="18" t="s">
        <v>1420</v>
      </c>
      <c r="C580" s="14" t="s">
        <v>1042</v>
      </c>
      <c r="D580" s="8">
        <v>101.251</v>
      </c>
    </row>
    <row r="581" spans="1:4" x14ac:dyDescent="0.3">
      <c r="A581" s="7" t="s">
        <v>1421</v>
      </c>
      <c r="B581" s="18" t="s">
        <v>1422</v>
      </c>
      <c r="C581" s="14" t="s">
        <v>1042</v>
      </c>
      <c r="D581" s="8">
        <v>122.626</v>
      </c>
    </row>
    <row r="582" spans="1:4" x14ac:dyDescent="0.3">
      <c r="A582" s="7" t="s">
        <v>1423</v>
      </c>
      <c r="B582" s="18" t="s">
        <v>1424</v>
      </c>
      <c r="C582" s="14" t="s">
        <v>1042</v>
      </c>
      <c r="D582" s="8">
        <v>163.346</v>
      </c>
    </row>
    <row r="583" spans="1:4" x14ac:dyDescent="0.3">
      <c r="A583" s="7" t="s">
        <v>1425</v>
      </c>
      <c r="B583" s="18" t="s">
        <v>1426</v>
      </c>
      <c r="C583" s="7" t="s">
        <v>1042</v>
      </c>
      <c r="D583" s="8">
        <v>119.98699999999999</v>
      </c>
    </row>
    <row r="584" spans="1:4" x14ac:dyDescent="0.3">
      <c r="A584" s="10" t="s">
        <v>1427</v>
      </c>
      <c r="B584" s="18" t="s">
        <v>1428</v>
      </c>
      <c r="C584" s="7" t="s">
        <v>1042</v>
      </c>
      <c r="D584" s="8">
        <v>113.857</v>
      </c>
    </row>
    <row r="585" spans="1:4" x14ac:dyDescent="0.3">
      <c r="A585" s="7" t="s">
        <v>1429</v>
      </c>
      <c r="B585" s="18" t="s">
        <v>1430</v>
      </c>
      <c r="C585" s="15" t="s">
        <v>452</v>
      </c>
      <c r="D585" s="8">
        <v>0.55100000000000005</v>
      </c>
    </row>
    <row r="586" spans="1:4" x14ac:dyDescent="0.3">
      <c r="A586" s="7" t="s">
        <v>1431</v>
      </c>
      <c r="B586" s="18" t="s">
        <v>1432</v>
      </c>
      <c r="C586" s="14" t="s">
        <v>199</v>
      </c>
      <c r="D586" s="8">
        <v>47.771000000000001</v>
      </c>
    </row>
    <row r="587" spans="1:4" x14ac:dyDescent="0.3">
      <c r="A587" s="7" t="s">
        <v>1433</v>
      </c>
      <c r="B587" s="18" t="s">
        <v>1434</v>
      </c>
      <c r="C587" s="14" t="s">
        <v>199</v>
      </c>
      <c r="D587" s="8">
        <v>51.75</v>
      </c>
    </row>
    <row r="588" spans="1:4" ht="27" x14ac:dyDescent="0.3">
      <c r="A588" s="7" t="s">
        <v>1435</v>
      </c>
      <c r="B588" s="18" t="s">
        <v>1436</v>
      </c>
      <c r="C588" s="10" t="s">
        <v>360</v>
      </c>
      <c r="D588" s="8">
        <v>0.932502700042109</v>
      </c>
    </row>
    <row r="589" spans="1:4" ht="27" x14ac:dyDescent="0.3">
      <c r="A589" s="7" t="s">
        <v>1437</v>
      </c>
      <c r="B589" s="18" t="s">
        <v>1438</v>
      </c>
      <c r="C589" s="10" t="s">
        <v>432</v>
      </c>
      <c r="D589" s="8">
        <v>9.3249999999999993</v>
      </c>
    </row>
    <row r="590" spans="1:4" x14ac:dyDescent="0.3">
      <c r="A590" s="7" t="s">
        <v>1602</v>
      </c>
      <c r="B590" s="18" t="s">
        <v>1603</v>
      </c>
      <c r="C590" s="7" t="s">
        <v>199</v>
      </c>
      <c r="D590" s="8">
        <v>69.772199999999998</v>
      </c>
    </row>
    <row r="591" spans="1:4" x14ac:dyDescent="0.3">
      <c r="A591" s="7" t="s">
        <v>1439</v>
      </c>
      <c r="B591" s="18" t="s">
        <v>1440</v>
      </c>
      <c r="C591" s="7" t="s">
        <v>396</v>
      </c>
      <c r="D591" s="8">
        <v>311.61823074161572</v>
      </c>
    </row>
    <row r="592" spans="1:4" x14ac:dyDescent="0.3">
      <c r="A592" s="10" t="s">
        <v>1441</v>
      </c>
      <c r="B592" s="18" t="s">
        <v>1442</v>
      </c>
      <c r="C592" s="10" t="s">
        <v>452</v>
      </c>
      <c r="D592" s="8">
        <v>0.628</v>
      </c>
    </row>
    <row r="593" spans="1:4" ht="27" x14ac:dyDescent="0.3">
      <c r="A593" s="7" t="s">
        <v>1443</v>
      </c>
      <c r="B593" s="18" t="s">
        <v>1444</v>
      </c>
      <c r="C593" s="7" t="s">
        <v>396</v>
      </c>
      <c r="D593" s="8">
        <v>336.52039740828235</v>
      </c>
    </row>
    <row r="594" spans="1:4" x14ac:dyDescent="0.3">
      <c r="A594" s="7" t="s">
        <v>1604</v>
      </c>
      <c r="B594" s="18" t="s">
        <v>1605</v>
      </c>
      <c r="C594" s="7" t="s">
        <v>199</v>
      </c>
      <c r="D594" s="8">
        <v>90.671000000000006</v>
      </c>
    </row>
    <row r="595" spans="1:4" x14ac:dyDescent="0.3">
      <c r="A595" s="7" t="s">
        <v>1606</v>
      </c>
      <c r="B595" s="18" t="s">
        <v>1607</v>
      </c>
      <c r="C595" s="7" t="s">
        <v>199</v>
      </c>
      <c r="D595" s="8">
        <v>87.091650000000001</v>
      </c>
    </row>
    <row r="596" spans="1:4" x14ac:dyDescent="0.3">
      <c r="A596" s="7" t="s">
        <v>1608</v>
      </c>
      <c r="B596" s="18" t="s">
        <v>1609</v>
      </c>
      <c r="C596" s="7" t="s">
        <v>199</v>
      </c>
      <c r="D596" s="8">
        <v>90.670900000000003</v>
      </c>
    </row>
    <row r="597" spans="1:4" ht="27" x14ac:dyDescent="0.3">
      <c r="A597" s="10" t="s">
        <v>1445</v>
      </c>
      <c r="B597" s="18" t="s">
        <v>1446</v>
      </c>
      <c r="C597" s="10" t="s">
        <v>204</v>
      </c>
      <c r="D597" s="8">
        <v>19.585000000000001</v>
      </c>
    </row>
    <row r="598" spans="1:4" ht="27" x14ac:dyDescent="0.3">
      <c r="A598" s="7" t="s">
        <v>1447</v>
      </c>
      <c r="B598" s="18" t="s">
        <v>1448</v>
      </c>
      <c r="C598" s="7" t="s">
        <v>204</v>
      </c>
      <c r="D598" s="8">
        <v>32.131</v>
      </c>
    </row>
    <row r="599" spans="1:4" ht="27" x14ac:dyDescent="0.3">
      <c r="A599" s="7" t="s">
        <v>1449</v>
      </c>
      <c r="B599" s="18" t="s">
        <v>1450</v>
      </c>
      <c r="C599" s="7" t="s">
        <v>204</v>
      </c>
      <c r="D599" s="8">
        <v>48.195999999999998</v>
      </c>
    </row>
    <row r="600" spans="1:4" ht="27" x14ac:dyDescent="0.3">
      <c r="A600" s="7" t="s">
        <v>1451</v>
      </c>
      <c r="B600" s="18" t="s">
        <v>1452</v>
      </c>
      <c r="C600" s="7" t="s">
        <v>204</v>
      </c>
      <c r="D600" s="8">
        <v>7.4999999999999997E-2</v>
      </c>
    </row>
    <row r="601" spans="1:4" ht="27" x14ac:dyDescent="0.3">
      <c r="A601" s="7" t="s">
        <v>1610</v>
      </c>
      <c r="B601" s="18" t="s">
        <v>1611</v>
      </c>
      <c r="C601" s="7" t="s">
        <v>204</v>
      </c>
      <c r="D601" s="8">
        <v>0.16854000000000002</v>
      </c>
    </row>
    <row r="602" spans="1:4" ht="27" x14ac:dyDescent="0.3">
      <c r="A602" s="7" t="s">
        <v>1612</v>
      </c>
      <c r="B602" s="18" t="s">
        <v>1613</v>
      </c>
      <c r="C602" s="7" t="s">
        <v>204</v>
      </c>
      <c r="D602" s="8">
        <v>0.24399999999999999</v>
      </c>
    </row>
    <row r="603" spans="1:4" ht="27" x14ac:dyDescent="0.3">
      <c r="A603" s="7" t="s">
        <v>1453</v>
      </c>
      <c r="B603" s="18" t="s">
        <v>1454</v>
      </c>
      <c r="C603" s="7" t="s">
        <v>204</v>
      </c>
      <c r="D603" s="8">
        <v>0.19700000000000001</v>
      </c>
    </row>
    <row r="604" spans="1:4" ht="27" x14ac:dyDescent="0.3">
      <c r="A604" s="7" t="s">
        <v>1455</v>
      </c>
      <c r="B604" s="18" t="s">
        <v>1456</v>
      </c>
      <c r="C604" s="7" t="s">
        <v>204</v>
      </c>
      <c r="D604" s="8">
        <v>0.88300000000000001</v>
      </c>
    </row>
    <row r="605" spans="1:4" ht="27" x14ac:dyDescent="0.3">
      <c r="A605" s="7" t="s">
        <v>1457</v>
      </c>
      <c r="B605" s="18" t="s">
        <v>1458</v>
      </c>
      <c r="C605" s="7" t="s">
        <v>204</v>
      </c>
      <c r="D605" s="8">
        <v>0.32200000000000001</v>
      </c>
    </row>
    <row r="606" spans="1:4" ht="27" x14ac:dyDescent="0.3">
      <c r="A606" s="7" t="s">
        <v>1459</v>
      </c>
      <c r="B606" s="18" t="s">
        <v>1460</v>
      </c>
      <c r="C606" s="7" t="s">
        <v>204</v>
      </c>
      <c r="D606" s="8">
        <v>0.11600000000000001</v>
      </c>
    </row>
    <row r="607" spans="1:4" ht="27" x14ac:dyDescent="0.3">
      <c r="A607" s="7" t="s">
        <v>1461</v>
      </c>
      <c r="B607" s="18" t="s">
        <v>1462</v>
      </c>
      <c r="C607" s="7" t="s">
        <v>1463</v>
      </c>
      <c r="D607" s="8">
        <v>1672.454</v>
      </c>
    </row>
    <row r="608" spans="1:4" ht="27" x14ac:dyDescent="0.3">
      <c r="A608" s="21" t="s">
        <v>1464</v>
      </c>
      <c r="B608" s="22" t="s">
        <v>1465</v>
      </c>
      <c r="C608" s="21" t="s">
        <v>1466</v>
      </c>
      <c r="D608" s="23">
        <v>1672.454</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B43C1-5453-4E6F-987A-9D071996B922}">
  <dimension ref="A1:D617"/>
  <sheetViews>
    <sheetView topLeftCell="A512" workbookViewId="0">
      <selection activeCell="B524" sqref="B524"/>
    </sheetView>
  </sheetViews>
  <sheetFormatPr defaultRowHeight="14.4" x14ac:dyDescent="0.3"/>
  <cols>
    <col min="1" max="1" width="14.77734375" customWidth="1"/>
    <col min="2" max="2" width="18.44140625" customWidth="1"/>
    <col min="3" max="3" width="20.5546875" customWidth="1"/>
    <col min="4" max="4" width="15.77734375" customWidth="1"/>
  </cols>
  <sheetData>
    <row r="1" spans="1:4" x14ac:dyDescent="0.3">
      <c r="A1" s="53" t="s">
        <v>201</v>
      </c>
      <c r="B1" s="54" t="s">
        <v>202</v>
      </c>
      <c r="C1" s="55" t="s">
        <v>196</v>
      </c>
      <c r="D1" s="56" t="s">
        <v>197</v>
      </c>
    </row>
    <row r="2" spans="1:4" x14ac:dyDescent="0.3">
      <c r="A2" s="45">
        <v>90371</v>
      </c>
      <c r="B2" s="44" t="s">
        <v>203</v>
      </c>
      <c r="C2" s="7" t="s">
        <v>204</v>
      </c>
      <c r="D2" s="49">
        <v>115.892</v>
      </c>
    </row>
    <row r="3" spans="1:4" x14ac:dyDescent="0.3">
      <c r="A3" s="45">
        <v>90375</v>
      </c>
      <c r="B3" s="44" t="s">
        <v>205</v>
      </c>
      <c r="C3" s="7" t="s">
        <v>206</v>
      </c>
      <c r="D3" s="49">
        <v>259.553</v>
      </c>
    </row>
    <row r="4" spans="1:4" ht="27" x14ac:dyDescent="0.3">
      <c r="A4" s="45">
        <v>90376</v>
      </c>
      <c r="B4" s="44" t="s">
        <v>207</v>
      </c>
      <c r="C4" s="7" t="s">
        <v>206</v>
      </c>
      <c r="D4" s="49">
        <v>297.61</v>
      </c>
    </row>
    <row r="5" spans="1:4" ht="27" x14ac:dyDescent="0.3">
      <c r="A5" s="45">
        <v>90586</v>
      </c>
      <c r="B5" s="44" t="s">
        <v>210</v>
      </c>
      <c r="C5" s="7" t="s">
        <v>211</v>
      </c>
      <c r="D5" s="49">
        <v>140.73400000000001</v>
      </c>
    </row>
    <row r="6" spans="1:4" ht="27" x14ac:dyDescent="0.3">
      <c r="A6" s="45">
        <v>90632</v>
      </c>
      <c r="B6" s="44" t="s">
        <v>212</v>
      </c>
      <c r="C6" s="7" t="s">
        <v>204</v>
      </c>
      <c r="D6" s="49">
        <v>61.225000000000001</v>
      </c>
    </row>
    <row r="7" spans="1:4" ht="27" x14ac:dyDescent="0.3">
      <c r="A7" s="45">
        <v>90653</v>
      </c>
      <c r="B7" s="44" t="s">
        <v>213</v>
      </c>
      <c r="C7" s="7" t="s">
        <v>214</v>
      </c>
      <c r="D7" s="49">
        <v>59.53</v>
      </c>
    </row>
    <row r="8" spans="1:4" ht="27" x14ac:dyDescent="0.3">
      <c r="A8" s="45">
        <v>90662</v>
      </c>
      <c r="B8" s="44" t="s">
        <v>217</v>
      </c>
      <c r="C8" s="9" t="s">
        <v>216</v>
      </c>
      <c r="D8" s="49">
        <v>56.006</v>
      </c>
    </row>
    <row r="9" spans="1:4" x14ac:dyDescent="0.3">
      <c r="A9" s="45">
        <v>90670</v>
      </c>
      <c r="B9" s="44" t="s">
        <v>218</v>
      </c>
      <c r="C9" s="7" t="s">
        <v>216</v>
      </c>
      <c r="D9" s="49">
        <v>230.14099999999999</v>
      </c>
    </row>
    <row r="10" spans="1:4" ht="27" x14ac:dyDescent="0.3">
      <c r="A10" s="45">
        <v>90672</v>
      </c>
      <c r="B10" s="44" t="s">
        <v>1547</v>
      </c>
      <c r="C10" s="7" t="s">
        <v>1548</v>
      </c>
      <c r="D10" s="49">
        <v>26.876000000000001</v>
      </c>
    </row>
    <row r="11" spans="1:4" ht="27" x14ac:dyDescent="0.3">
      <c r="A11" s="46">
        <v>90674</v>
      </c>
      <c r="B11" s="44" t="s">
        <v>219</v>
      </c>
      <c r="C11" s="11" t="s">
        <v>216</v>
      </c>
      <c r="D11" s="49">
        <v>28.13</v>
      </c>
    </row>
    <row r="12" spans="1:4" x14ac:dyDescent="0.3">
      <c r="A12" s="45">
        <v>90675</v>
      </c>
      <c r="B12" s="44" t="s">
        <v>220</v>
      </c>
      <c r="C12" s="7" t="s">
        <v>204</v>
      </c>
      <c r="D12" s="49">
        <v>294.721</v>
      </c>
    </row>
    <row r="13" spans="1:4" ht="27" x14ac:dyDescent="0.3">
      <c r="A13" s="45">
        <v>90682</v>
      </c>
      <c r="B13" s="44" t="s">
        <v>221</v>
      </c>
      <c r="C13" s="11" t="s">
        <v>216</v>
      </c>
      <c r="D13" s="49">
        <v>56.006</v>
      </c>
    </row>
    <row r="14" spans="1:4" ht="27" x14ac:dyDescent="0.3">
      <c r="A14" s="46">
        <v>90685</v>
      </c>
      <c r="B14" s="44" t="s">
        <v>222</v>
      </c>
      <c r="C14" s="10" t="s">
        <v>223</v>
      </c>
      <c r="D14" s="49">
        <v>20.343</v>
      </c>
    </row>
    <row r="15" spans="1:4" ht="27" x14ac:dyDescent="0.3">
      <c r="A15" s="46">
        <v>90686</v>
      </c>
      <c r="B15" s="44" t="s">
        <v>224</v>
      </c>
      <c r="C15" s="10" t="s">
        <v>214</v>
      </c>
      <c r="D15" s="49">
        <v>19.032</v>
      </c>
    </row>
    <row r="16" spans="1:4" ht="27" x14ac:dyDescent="0.3">
      <c r="A16" s="45">
        <v>90687</v>
      </c>
      <c r="B16" s="44" t="s">
        <v>225</v>
      </c>
      <c r="C16" s="7" t="s">
        <v>226</v>
      </c>
      <c r="D16" s="49">
        <v>9.4030000000000005</v>
      </c>
    </row>
    <row r="17" spans="1:4" ht="27" x14ac:dyDescent="0.3">
      <c r="A17" s="46">
        <v>90688</v>
      </c>
      <c r="B17" s="44" t="s">
        <v>227</v>
      </c>
      <c r="C17" s="10" t="s">
        <v>216</v>
      </c>
      <c r="D17" s="49">
        <v>17.835000000000001</v>
      </c>
    </row>
    <row r="18" spans="1:4" x14ac:dyDescent="0.3">
      <c r="A18" s="45">
        <v>90691</v>
      </c>
      <c r="B18" s="44" t="s">
        <v>228</v>
      </c>
      <c r="C18" s="7" t="s">
        <v>216</v>
      </c>
      <c r="D18" s="49">
        <v>105.111</v>
      </c>
    </row>
    <row r="19" spans="1:4" ht="27" x14ac:dyDescent="0.3">
      <c r="A19" s="45">
        <v>90714</v>
      </c>
      <c r="B19" s="44" t="s">
        <v>229</v>
      </c>
      <c r="C19" s="7" t="s">
        <v>216</v>
      </c>
      <c r="D19" s="49">
        <v>28.939</v>
      </c>
    </row>
    <row r="20" spans="1:4" ht="27" x14ac:dyDescent="0.3">
      <c r="A20" s="45">
        <v>90715</v>
      </c>
      <c r="B20" s="44" t="s">
        <v>230</v>
      </c>
      <c r="C20" s="7" t="s">
        <v>216</v>
      </c>
      <c r="D20" s="49">
        <v>33.441000000000003</v>
      </c>
    </row>
    <row r="21" spans="1:4" ht="27" x14ac:dyDescent="0.3">
      <c r="A21" s="45">
        <v>90732</v>
      </c>
      <c r="B21" s="44" t="s">
        <v>231</v>
      </c>
      <c r="C21" s="7" t="s">
        <v>216</v>
      </c>
      <c r="D21" s="49">
        <v>119.92100000000001</v>
      </c>
    </row>
    <row r="22" spans="1:4" ht="27" x14ac:dyDescent="0.3">
      <c r="A22" s="45">
        <v>90739</v>
      </c>
      <c r="B22" s="44" t="s">
        <v>232</v>
      </c>
      <c r="C22" s="7" t="s">
        <v>233</v>
      </c>
      <c r="D22" s="49">
        <v>131.1</v>
      </c>
    </row>
    <row r="23" spans="1:4" ht="27" x14ac:dyDescent="0.3">
      <c r="A23" s="45">
        <v>90740</v>
      </c>
      <c r="B23" s="44" t="s">
        <v>234</v>
      </c>
      <c r="C23" s="7" t="s">
        <v>235</v>
      </c>
      <c r="D23" s="49">
        <v>140.756</v>
      </c>
    </row>
    <row r="24" spans="1:4" ht="27" x14ac:dyDescent="0.3">
      <c r="A24" s="45">
        <v>90744</v>
      </c>
      <c r="B24" s="44" t="s">
        <v>236</v>
      </c>
      <c r="C24" s="7" t="s">
        <v>237</v>
      </c>
      <c r="D24" s="49">
        <v>28.207999999999998</v>
      </c>
    </row>
    <row r="25" spans="1:4" ht="27" x14ac:dyDescent="0.3">
      <c r="A25" s="45">
        <v>90746</v>
      </c>
      <c r="B25" s="44" t="s">
        <v>238</v>
      </c>
      <c r="C25" s="7" t="s">
        <v>239</v>
      </c>
      <c r="D25" s="49">
        <v>69.647999999999996</v>
      </c>
    </row>
    <row r="26" spans="1:4" ht="27" x14ac:dyDescent="0.3">
      <c r="A26" s="45">
        <v>90747</v>
      </c>
      <c r="B26" s="44" t="s">
        <v>240</v>
      </c>
      <c r="C26" s="7" t="s">
        <v>235</v>
      </c>
      <c r="D26" s="49">
        <v>140.756</v>
      </c>
    </row>
    <row r="27" spans="1:4" ht="27" x14ac:dyDescent="0.3">
      <c r="A27" s="45">
        <v>90756</v>
      </c>
      <c r="B27" s="44" t="s">
        <v>241</v>
      </c>
      <c r="C27" s="11" t="s">
        <v>216</v>
      </c>
      <c r="D27" s="49">
        <v>26.657</v>
      </c>
    </row>
    <row r="28" spans="1:4" ht="27" x14ac:dyDescent="0.3">
      <c r="A28" s="45" t="s">
        <v>1549</v>
      </c>
      <c r="B28" s="44" t="s">
        <v>1550</v>
      </c>
      <c r="C28" s="7" t="s">
        <v>254</v>
      </c>
      <c r="D28" s="49">
        <v>0.188</v>
      </c>
    </row>
    <row r="29" spans="1:4" ht="27" x14ac:dyDescent="0.3">
      <c r="A29" s="45" t="s">
        <v>242</v>
      </c>
      <c r="B29" s="44" t="s">
        <v>243</v>
      </c>
      <c r="C29" s="7" t="s">
        <v>204</v>
      </c>
      <c r="D29" s="49">
        <v>1.4079999999999999</v>
      </c>
    </row>
    <row r="30" spans="1:4" x14ac:dyDescent="0.3">
      <c r="A30" s="45" t="s">
        <v>244</v>
      </c>
      <c r="B30" s="44" t="s">
        <v>245</v>
      </c>
      <c r="C30" s="7" t="s">
        <v>204</v>
      </c>
      <c r="D30" s="49">
        <v>1.8340000000000001</v>
      </c>
    </row>
    <row r="31" spans="1:4" ht="27" x14ac:dyDescent="0.3">
      <c r="A31" s="45" t="s">
        <v>246</v>
      </c>
      <c r="B31" s="44" t="s">
        <v>247</v>
      </c>
      <c r="C31" s="7" t="s">
        <v>204</v>
      </c>
      <c r="D31" s="49">
        <v>1.758</v>
      </c>
    </row>
    <row r="32" spans="1:4" ht="27" x14ac:dyDescent="0.3">
      <c r="A32" s="45" t="s">
        <v>248</v>
      </c>
      <c r="B32" s="44" t="s">
        <v>249</v>
      </c>
      <c r="C32" s="7" t="s">
        <v>204</v>
      </c>
      <c r="D32" s="49">
        <v>1.534</v>
      </c>
    </row>
    <row r="33" spans="1:4" ht="27" x14ac:dyDescent="0.3">
      <c r="A33" s="47" t="s">
        <v>250</v>
      </c>
      <c r="B33" s="44" t="s">
        <v>251</v>
      </c>
      <c r="C33" s="13" t="s">
        <v>204</v>
      </c>
      <c r="D33" s="49">
        <v>14.742000000000001</v>
      </c>
    </row>
    <row r="34" spans="1:4" x14ac:dyDescent="0.3">
      <c r="A34" s="45" t="s">
        <v>252</v>
      </c>
      <c r="B34" s="44" t="s">
        <v>253</v>
      </c>
      <c r="C34" s="14" t="s">
        <v>254</v>
      </c>
      <c r="D34" s="49">
        <v>0.36499999999999999</v>
      </c>
    </row>
    <row r="35" spans="1:4" ht="40.200000000000003" x14ac:dyDescent="0.3">
      <c r="A35" s="46" t="s">
        <v>255</v>
      </c>
      <c r="B35" s="44" t="s">
        <v>256</v>
      </c>
      <c r="C35" s="10" t="s">
        <v>257</v>
      </c>
      <c r="D35" s="49">
        <v>1173.134</v>
      </c>
    </row>
    <row r="36" spans="1:4" ht="27" x14ac:dyDescent="0.3">
      <c r="A36" s="46" t="s">
        <v>258</v>
      </c>
      <c r="B36" s="44" t="s">
        <v>259</v>
      </c>
      <c r="C36" s="10" t="s">
        <v>260</v>
      </c>
      <c r="D36" s="49">
        <v>166.02</v>
      </c>
    </row>
    <row r="37" spans="1:4" ht="27" x14ac:dyDescent="0.3">
      <c r="A37" s="45" t="s">
        <v>1552</v>
      </c>
      <c r="B37" s="44" t="s">
        <v>1553</v>
      </c>
      <c r="C37" s="7" t="s">
        <v>198</v>
      </c>
      <c r="D37" s="49">
        <v>3.21</v>
      </c>
    </row>
    <row r="38" spans="1:4" ht="27" x14ac:dyDescent="0.3">
      <c r="A38" s="45" t="s">
        <v>1554</v>
      </c>
      <c r="B38" s="44" t="s">
        <v>1555</v>
      </c>
      <c r="C38" s="7" t="s">
        <v>198</v>
      </c>
      <c r="D38" s="49">
        <v>1.028</v>
      </c>
    </row>
    <row r="39" spans="1:4" x14ac:dyDescent="0.3">
      <c r="A39" s="45" t="s">
        <v>261</v>
      </c>
      <c r="B39" s="44" t="s">
        <v>262</v>
      </c>
      <c r="C39" s="14" t="s">
        <v>199</v>
      </c>
      <c r="D39" s="49">
        <v>56.738999999999997</v>
      </c>
    </row>
    <row r="40" spans="1:4" ht="27" x14ac:dyDescent="0.3">
      <c r="A40" s="45" t="s">
        <v>265</v>
      </c>
      <c r="B40" s="44" t="s">
        <v>266</v>
      </c>
      <c r="C40" s="7" t="s">
        <v>257</v>
      </c>
      <c r="D40" s="49">
        <v>1.0760000000000001</v>
      </c>
    </row>
    <row r="41" spans="1:4" x14ac:dyDescent="0.3">
      <c r="A41" s="45" t="s">
        <v>267</v>
      </c>
      <c r="B41" s="44" t="s">
        <v>268</v>
      </c>
      <c r="C41" s="7" t="s">
        <v>200</v>
      </c>
      <c r="D41" s="49">
        <v>6.8000000000000005E-2</v>
      </c>
    </row>
    <row r="42" spans="1:4" x14ac:dyDescent="0.3">
      <c r="A42" s="45" t="s">
        <v>269</v>
      </c>
      <c r="B42" s="44" t="s">
        <v>270</v>
      </c>
      <c r="C42" s="7" t="s">
        <v>198</v>
      </c>
      <c r="D42" s="49">
        <v>0.622</v>
      </c>
    </row>
    <row r="43" spans="1:4" ht="27" x14ac:dyDescent="0.3">
      <c r="A43" s="45" t="s">
        <v>271</v>
      </c>
      <c r="B43" s="44" t="s">
        <v>272</v>
      </c>
      <c r="C43" s="7" t="s">
        <v>273</v>
      </c>
      <c r="D43" s="49">
        <v>0.90900000000000003</v>
      </c>
    </row>
    <row r="44" spans="1:4" x14ac:dyDescent="0.3">
      <c r="A44" s="45" t="s">
        <v>274</v>
      </c>
      <c r="B44" s="44" t="s">
        <v>275</v>
      </c>
      <c r="C44" s="7" t="s">
        <v>198</v>
      </c>
      <c r="D44" s="49">
        <v>931.76700000000005</v>
      </c>
    </row>
    <row r="45" spans="1:4" ht="27" x14ac:dyDescent="0.3">
      <c r="A45" s="45" t="s">
        <v>1556</v>
      </c>
      <c r="B45" s="44" t="s">
        <v>1557</v>
      </c>
      <c r="C45" s="7" t="s">
        <v>198</v>
      </c>
      <c r="D45" s="49">
        <v>316.14800000000002</v>
      </c>
    </row>
    <row r="46" spans="1:4" ht="27" x14ac:dyDescent="0.3">
      <c r="A46" s="45" t="s">
        <v>276</v>
      </c>
      <c r="B46" s="44" t="s">
        <v>277</v>
      </c>
      <c r="C46" s="7" t="s">
        <v>198</v>
      </c>
      <c r="D46" s="49">
        <v>187.95</v>
      </c>
    </row>
    <row r="47" spans="1:4" x14ac:dyDescent="0.3">
      <c r="A47" s="46" t="s">
        <v>278</v>
      </c>
      <c r="B47" s="44" t="s">
        <v>279</v>
      </c>
      <c r="C47" s="10" t="s">
        <v>198</v>
      </c>
      <c r="D47" s="49">
        <v>1.8779999999999999</v>
      </c>
    </row>
    <row r="48" spans="1:4" ht="27" x14ac:dyDescent="0.3">
      <c r="A48" s="46" t="s">
        <v>280</v>
      </c>
      <c r="B48" s="44" t="s">
        <v>281</v>
      </c>
      <c r="C48" s="10" t="s">
        <v>198</v>
      </c>
      <c r="D48" s="49">
        <v>1986.4290000000001</v>
      </c>
    </row>
    <row r="49" spans="1:4" x14ac:dyDescent="0.3">
      <c r="A49" s="45" t="s">
        <v>282</v>
      </c>
      <c r="B49" s="44" t="s">
        <v>283</v>
      </c>
      <c r="C49" s="7" t="s">
        <v>284</v>
      </c>
      <c r="D49" s="49">
        <v>1135.691</v>
      </c>
    </row>
    <row r="50" spans="1:4" x14ac:dyDescent="0.3">
      <c r="A50" s="45" t="s">
        <v>285</v>
      </c>
      <c r="B50" s="44" t="s">
        <v>286</v>
      </c>
      <c r="C50" s="7" t="s">
        <v>199</v>
      </c>
      <c r="D50" s="49">
        <v>173.864</v>
      </c>
    </row>
    <row r="51" spans="1:4" x14ac:dyDescent="0.3">
      <c r="A51" s="45" t="s">
        <v>1558</v>
      </c>
      <c r="B51" s="44" t="s">
        <v>1559</v>
      </c>
      <c r="C51" s="7" t="s">
        <v>273</v>
      </c>
      <c r="D51" s="49">
        <v>98.212999999999994</v>
      </c>
    </row>
    <row r="52" spans="1:4" x14ac:dyDescent="0.3">
      <c r="A52" s="45" t="s">
        <v>1615</v>
      </c>
      <c r="B52" s="44" t="s">
        <v>1616</v>
      </c>
      <c r="C52" s="7" t="s">
        <v>396</v>
      </c>
      <c r="D52" s="49">
        <v>107.178</v>
      </c>
    </row>
    <row r="53" spans="1:4" ht="27" x14ac:dyDescent="0.3">
      <c r="A53" s="45" t="s">
        <v>287</v>
      </c>
      <c r="B53" s="44" t="s">
        <v>288</v>
      </c>
      <c r="C53" s="7" t="s">
        <v>199</v>
      </c>
      <c r="D53" s="49">
        <v>4.3769999999999998</v>
      </c>
    </row>
    <row r="54" spans="1:4" x14ac:dyDescent="0.3">
      <c r="A54" s="45" t="s">
        <v>289</v>
      </c>
      <c r="B54" s="44" t="s">
        <v>290</v>
      </c>
      <c r="C54" s="7" t="s">
        <v>199</v>
      </c>
      <c r="D54" s="49">
        <v>4.8120000000000003</v>
      </c>
    </row>
    <row r="55" spans="1:4" ht="27" x14ac:dyDescent="0.3">
      <c r="A55" s="45" t="s">
        <v>291</v>
      </c>
      <c r="B55" s="44" t="s">
        <v>292</v>
      </c>
      <c r="C55" s="7" t="s">
        <v>257</v>
      </c>
      <c r="D55" s="49">
        <v>1.3859999999999999</v>
      </c>
    </row>
    <row r="56" spans="1:4" ht="27" x14ac:dyDescent="0.3">
      <c r="A56" s="45" t="s">
        <v>293</v>
      </c>
      <c r="B56" s="44" t="s">
        <v>294</v>
      </c>
      <c r="C56" s="7" t="s">
        <v>295</v>
      </c>
      <c r="D56" s="49">
        <v>7.31</v>
      </c>
    </row>
    <row r="57" spans="1:4" x14ac:dyDescent="0.3">
      <c r="A57" s="45" t="s">
        <v>296</v>
      </c>
      <c r="B57" s="44" t="s">
        <v>297</v>
      </c>
      <c r="C57" s="7" t="s">
        <v>209</v>
      </c>
      <c r="D57" s="49">
        <v>39.015999999999998</v>
      </c>
    </row>
    <row r="58" spans="1:4" ht="27" x14ac:dyDescent="0.3">
      <c r="A58" s="45" t="s">
        <v>298</v>
      </c>
      <c r="B58" s="44" t="s">
        <v>299</v>
      </c>
      <c r="C58" s="7" t="s">
        <v>199</v>
      </c>
      <c r="D58" s="49">
        <v>9.3070000000000004</v>
      </c>
    </row>
    <row r="59" spans="1:4" ht="27" x14ac:dyDescent="0.3">
      <c r="A59" s="45" t="s">
        <v>300</v>
      </c>
      <c r="B59" s="44" t="s">
        <v>301</v>
      </c>
      <c r="C59" s="7" t="s">
        <v>199</v>
      </c>
      <c r="D59" s="49">
        <v>26.54</v>
      </c>
    </row>
    <row r="60" spans="1:4" x14ac:dyDescent="0.3">
      <c r="A60" s="45" t="s">
        <v>302</v>
      </c>
      <c r="B60" s="44" t="s">
        <v>303</v>
      </c>
      <c r="C60" s="7" t="s">
        <v>284</v>
      </c>
      <c r="D60" s="49">
        <v>0.92800000000000005</v>
      </c>
    </row>
    <row r="61" spans="1:4" ht="27" x14ac:dyDescent="0.3">
      <c r="A61" s="45" t="s">
        <v>1617</v>
      </c>
      <c r="B61" s="44" t="s">
        <v>1618</v>
      </c>
      <c r="C61" s="7" t="s">
        <v>200</v>
      </c>
      <c r="D61" s="49">
        <v>3.0750000000000002</v>
      </c>
    </row>
    <row r="62" spans="1:4" ht="27" x14ac:dyDescent="0.3">
      <c r="A62" s="45" t="s">
        <v>304</v>
      </c>
      <c r="B62" s="44" t="s">
        <v>305</v>
      </c>
      <c r="C62" s="7" t="s">
        <v>306</v>
      </c>
      <c r="D62" s="49">
        <v>2.7549999999999999</v>
      </c>
    </row>
    <row r="63" spans="1:4" ht="27" x14ac:dyDescent="0.3">
      <c r="A63" s="45" t="s">
        <v>307</v>
      </c>
      <c r="B63" s="44" t="s">
        <v>308</v>
      </c>
      <c r="C63" s="7" t="s">
        <v>198</v>
      </c>
      <c r="D63" s="49">
        <v>0.50700000000000001</v>
      </c>
    </row>
    <row r="64" spans="1:4" ht="27" x14ac:dyDescent="0.3">
      <c r="A64" s="45" t="s">
        <v>309</v>
      </c>
      <c r="B64" s="44" t="s">
        <v>310</v>
      </c>
      <c r="C64" s="7" t="s">
        <v>311</v>
      </c>
      <c r="D64" s="49">
        <v>2.8780000000000001</v>
      </c>
    </row>
    <row r="65" spans="1:4" ht="27" x14ac:dyDescent="0.3">
      <c r="A65" s="45" t="s">
        <v>312</v>
      </c>
      <c r="B65" s="44" t="s">
        <v>313</v>
      </c>
      <c r="C65" s="7" t="s">
        <v>198</v>
      </c>
      <c r="D65" s="49">
        <v>5.6989999999999998</v>
      </c>
    </row>
    <row r="66" spans="1:4" x14ac:dyDescent="0.3">
      <c r="A66" s="45" t="s">
        <v>314</v>
      </c>
      <c r="B66" s="44" t="s">
        <v>315</v>
      </c>
      <c r="C66" s="7" t="s">
        <v>284</v>
      </c>
      <c r="D66" s="49">
        <v>3.42</v>
      </c>
    </row>
    <row r="67" spans="1:4" ht="27" x14ac:dyDescent="0.3">
      <c r="A67" s="45" t="s">
        <v>316</v>
      </c>
      <c r="B67" s="44" t="s">
        <v>317</v>
      </c>
      <c r="C67" s="7" t="s">
        <v>318</v>
      </c>
      <c r="D67" s="49">
        <v>6.4000000000000001E-2</v>
      </c>
    </row>
    <row r="68" spans="1:4" ht="27" x14ac:dyDescent="0.3">
      <c r="A68" s="45" t="s">
        <v>321</v>
      </c>
      <c r="B68" s="44" t="s">
        <v>322</v>
      </c>
      <c r="C68" s="7" t="s">
        <v>199</v>
      </c>
      <c r="D68" s="49">
        <v>175.16</v>
      </c>
    </row>
    <row r="69" spans="1:4" ht="27" x14ac:dyDescent="0.3">
      <c r="A69" s="45" t="s">
        <v>323</v>
      </c>
      <c r="B69" s="44" t="s">
        <v>324</v>
      </c>
      <c r="C69" s="7" t="s">
        <v>325</v>
      </c>
      <c r="D69" s="49">
        <v>55.783999999999999</v>
      </c>
    </row>
    <row r="70" spans="1:4" x14ac:dyDescent="0.3">
      <c r="A70" s="45" t="s">
        <v>326</v>
      </c>
      <c r="B70" s="44" t="s">
        <v>327</v>
      </c>
      <c r="C70" s="7" t="s">
        <v>311</v>
      </c>
      <c r="D70" s="49">
        <v>4016.5909999999999</v>
      </c>
    </row>
    <row r="71" spans="1:4" x14ac:dyDescent="0.3">
      <c r="A71" s="45" t="s">
        <v>328</v>
      </c>
      <c r="B71" s="44" t="s">
        <v>329</v>
      </c>
      <c r="C71" s="7" t="s">
        <v>198</v>
      </c>
      <c r="D71" s="49">
        <v>3.766</v>
      </c>
    </row>
    <row r="72" spans="1:4" x14ac:dyDescent="0.3">
      <c r="A72" s="47" t="s">
        <v>330</v>
      </c>
      <c r="B72" s="44" t="s">
        <v>331</v>
      </c>
      <c r="C72" s="13" t="s">
        <v>199</v>
      </c>
      <c r="D72" s="49">
        <v>46.167999999999999</v>
      </c>
    </row>
    <row r="73" spans="1:4" ht="27" x14ac:dyDescent="0.3">
      <c r="A73" s="45" t="s">
        <v>332</v>
      </c>
      <c r="B73" s="44" t="s">
        <v>333</v>
      </c>
      <c r="C73" s="7" t="s">
        <v>311</v>
      </c>
      <c r="D73" s="49">
        <v>40.652000000000001</v>
      </c>
    </row>
    <row r="74" spans="1:4" ht="27" x14ac:dyDescent="0.3">
      <c r="A74" s="45" t="s">
        <v>334</v>
      </c>
      <c r="B74" s="44" t="s">
        <v>335</v>
      </c>
      <c r="C74" s="7" t="s">
        <v>198</v>
      </c>
      <c r="D74" s="49">
        <v>15.515000000000001</v>
      </c>
    </row>
    <row r="75" spans="1:4" ht="27" x14ac:dyDescent="0.3">
      <c r="A75" s="46" t="s">
        <v>336</v>
      </c>
      <c r="B75" s="44" t="s">
        <v>337</v>
      </c>
      <c r="C75" s="10" t="s">
        <v>198</v>
      </c>
      <c r="D75" s="49">
        <v>171.89599999999999</v>
      </c>
    </row>
    <row r="76" spans="1:4" ht="40.200000000000003" x14ac:dyDescent="0.3">
      <c r="A76" s="45" t="s">
        <v>338</v>
      </c>
      <c r="B76" s="44" t="s">
        <v>339</v>
      </c>
      <c r="C76" s="7" t="s">
        <v>340</v>
      </c>
      <c r="D76" s="49">
        <v>11.678000000000001</v>
      </c>
    </row>
    <row r="77" spans="1:4" ht="27" x14ac:dyDescent="0.3">
      <c r="A77" s="45" t="s">
        <v>341</v>
      </c>
      <c r="B77" s="44" t="s">
        <v>342</v>
      </c>
      <c r="C77" s="7" t="s">
        <v>340</v>
      </c>
      <c r="D77" s="49">
        <v>15.032999999999999</v>
      </c>
    </row>
    <row r="78" spans="1:4" ht="27" x14ac:dyDescent="0.3">
      <c r="A78" s="46" t="s">
        <v>343</v>
      </c>
      <c r="B78" s="44" t="s">
        <v>344</v>
      </c>
      <c r="C78" s="10" t="s">
        <v>199</v>
      </c>
      <c r="D78" s="49">
        <v>39.710999999999999</v>
      </c>
    </row>
    <row r="79" spans="1:4" ht="27" x14ac:dyDescent="0.3">
      <c r="A79" s="45" t="s">
        <v>345</v>
      </c>
      <c r="B79" s="44" t="s">
        <v>346</v>
      </c>
      <c r="C79" s="7" t="s">
        <v>347</v>
      </c>
      <c r="D79" s="49">
        <v>1270.194</v>
      </c>
    </row>
    <row r="80" spans="1:4" x14ac:dyDescent="0.3">
      <c r="A80" s="45" t="s">
        <v>348</v>
      </c>
      <c r="B80" s="44" t="s">
        <v>349</v>
      </c>
      <c r="C80" s="7" t="s">
        <v>198</v>
      </c>
      <c r="D80" s="49">
        <v>0.74199999999999999</v>
      </c>
    </row>
    <row r="81" spans="1:4" ht="27" x14ac:dyDescent="0.3">
      <c r="A81" s="45" t="s">
        <v>350</v>
      </c>
      <c r="B81" s="44" t="s">
        <v>351</v>
      </c>
      <c r="C81" s="7" t="s">
        <v>198</v>
      </c>
      <c r="D81" s="49">
        <v>361.84699999999998</v>
      </c>
    </row>
    <row r="82" spans="1:4" ht="27" x14ac:dyDescent="0.3">
      <c r="A82" s="45" t="s">
        <v>352</v>
      </c>
      <c r="B82" s="44" t="s">
        <v>353</v>
      </c>
      <c r="C82" s="7" t="s">
        <v>354</v>
      </c>
      <c r="D82" s="49">
        <v>6.0949999999999998</v>
      </c>
    </row>
    <row r="83" spans="1:4" x14ac:dyDescent="0.3">
      <c r="A83" s="48" t="s">
        <v>355</v>
      </c>
      <c r="B83" s="44" t="s">
        <v>356</v>
      </c>
      <c r="C83" s="7" t="s">
        <v>357</v>
      </c>
      <c r="D83" s="49">
        <v>8.3789999999999996</v>
      </c>
    </row>
    <row r="84" spans="1:4" ht="27" x14ac:dyDescent="0.3">
      <c r="A84" s="45" t="s">
        <v>358</v>
      </c>
      <c r="B84" s="44" t="s">
        <v>359</v>
      </c>
      <c r="C84" s="7" t="s">
        <v>360</v>
      </c>
      <c r="D84" s="49">
        <v>11.971</v>
      </c>
    </row>
    <row r="85" spans="1:4" x14ac:dyDescent="0.3">
      <c r="A85" s="45" t="s">
        <v>361</v>
      </c>
      <c r="B85" s="44" t="s">
        <v>362</v>
      </c>
      <c r="C85" s="13" t="s">
        <v>354</v>
      </c>
      <c r="D85" s="49">
        <v>5.0179999999999998</v>
      </c>
    </row>
    <row r="86" spans="1:4" ht="27" x14ac:dyDescent="0.3">
      <c r="A86" s="45" t="s">
        <v>363</v>
      </c>
      <c r="B86" s="44" t="s">
        <v>364</v>
      </c>
      <c r="C86" s="7" t="s">
        <v>273</v>
      </c>
      <c r="D86" s="49">
        <v>4.6669999999999998</v>
      </c>
    </row>
    <row r="87" spans="1:4" x14ac:dyDescent="0.3">
      <c r="A87" s="45" t="s">
        <v>365</v>
      </c>
      <c r="B87" s="44" t="s">
        <v>366</v>
      </c>
      <c r="C87" s="7" t="s">
        <v>198</v>
      </c>
      <c r="D87" s="49">
        <v>3.6680000000000001</v>
      </c>
    </row>
    <row r="88" spans="1:4" ht="27" x14ac:dyDescent="0.3">
      <c r="A88" s="45" t="s">
        <v>367</v>
      </c>
      <c r="B88" s="44" t="s">
        <v>368</v>
      </c>
      <c r="C88" s="7" t="s">
        <v>198</v>
      </c>
      <c r="D88" s="49">
        <v>2.9119999999999999</v>
      </c>
    </row>
    <row r="89" spans="1:4" x14ac:dyDescent="0.3">
      <c r="A89" s="45" t="s">
        <v>369</v>
      </c>
      <c r="B89" s="44" t="s">
        <v>370</v>
      </c>
      <c r="C89" s="7" t="s">
        <v>371</v>
      </c>
      <c r="D89" s="49">
        <v>29.231000000000002</v>
      </c>
    </row>
    <row r="90" spans="1:4" ht="27" x14ac:dyDescent="0.3">
      <c r="A90" s="45" t="s">
        <v>372</v>
      </c>
      <c r="B90" s="44" t="s">
        <v>373</v>
      </c>
      <c r="C90" s="7" t="s">
        <v>371</v>
      </c>
      <c r="D90" s="49">
        <v>51.26</v>
      </c>
    </row>
    <row r="91" spans="1:4" ht="27" x14ac:dyDescent="0.3">
      <c r="A91" s="45" t="s">
        <v>374</v>
      </c>
      <c r="B91" s="44" t="s">
        <v>375</v>
      </c>
      <c r="C91" s="13" t="s">
        <v>371</v>
      </c>
      <c r="D91" s="49">
        <v>56.125</v>
      </c>
    </row>
    <row r="92" spans="1:4" ht="27" x14ac:dyDescent="0.3">
      <c r="A92" s="45" t="s">
        <v>376</v>
      </c>
      <c r="B92" s="44" t="s">
        <v>377</v>
      </c>
      <c r="C92" s="7" t="s">
        <v>378</v>
      </c>
      <c r="D92" s="49">
        <v>5594.4219999999996</v>
      </c>
    </row>
    <row r="93" spans="1:4" ht="27" x14ac:dyDescent="0.3">
      <c r="A93" s="45" t="s">
        <v>379</v>
      </c>
      <c r="B93" s="44" t="s">
        <v>380</v>
      </c>
      <c r="C93" s="7" t="s">
        <v>381</v>
      </c>
      <c r="D93" s="49">
        <v>4.1920000000000002</v>
      </c>
    </row>
    <row r="94" spans="1:4" ht="27" x14ac:dyDescent="0.3">
      <c r="A94" s="45" t="s">
        <v>382</v>
      </c>
      <c r="B94" s="44" t="s">
        <v>383</v>
      </c>
      <c r="C94" s="7" t="s">
        <v>384</v>
      </c>
      <c r="D94" s="49">
        <v>2831.4969999999998</v>
      </c>
    </row>
    <row r="95" spans="1:4" ht="27" x14ac:dyDescent="0.3">
      <c r="A95" s="45" t="s">
        <v>385</v>
      </c>
      <c r="B95" s="44" t="s">
        <v>386</v>
      </c>
      <c r="C95" s="7" t="s">
        <v>387</v>
      </c>
      <c r="D95" s="49">
        <v>0.748</v>
      </c>
    </row>
    <row r="96" spans="1:4" x14ac:dyDescent="0.3">
      <c r="A96" s="45" t="s">
        <v>388</v>
      </c>
      <c r="B96" s="44" t="s">
        <v>389</v>
      </c>
      <c r="C96" s="7" t="s">
        <v>200</v>
      </c>
      <c r="D96" s="49">
        <v>6.7969999999999997</v>
      </c>
    </row>
    <row r="97" spans="1:4" ht="27" x14ac:dyDescent="0.3">
      <c r="A97" s="45" t="s">
        <v>390</v>
      </c>
      <c r="B97" s="44" t="s">
        <v>391</v>
      </c>
      <c r="C97" s="7" t="s">
        <v>198</v>
      </c>
      <c r="D97" s="49">
        <v>113.123</v>
      </c>
    </row>
    <row r="98" spans="1:4" ht="27" x14ac:dyDescent="0.3">
      <c r="A98" s="45" t="s">
        <v>392</v>
      </c>
      <c r="B98" s="44" t="s">
        <v>393</v>
      </c>
      <c r="C98" s="7" t="s">
        <v>209</v>
      </c>
      <c r="D98" s="49">
        <v>3.1819999999999999</v>
      </c>
    </row>
    <row r="99" spans="1:4" ht="27" x14ac:dyDescent="0.3">
      <c r="A99" s="45" t="s">
        <v>394</v>
      </c>
      <c r="B99" s="44" t="s">
        <v>1560</v>
      </c>
      <c r="C99" s="7" t="s">
        <v>396</v>
      </c>
      <c r="D99" s="49">
        <v>0.28399999999999997</v>
      </c>
    </row>
    <row r="100" spans="1:4" ht="27" x14ac:dyDescent="0.3">
      <c r="A100" s="45" t="s">
        <v>1561</v>
      </c>
      <c r="B100" s="44" t="s">
        <v>1562</v>
      </c>
      <c r="C100" s="7" t="s">
        <v>396</v>
      </c>
      <c r="D100" s="49">
        <v>1.944</v>
      </c>
    </row>
    <row r="101" spans="1:4" ht="27" x14ac:dyDescent="0.3">
      <c r="A101" s="45" t="s">
        <v>397</v>
      </c>
      <c r="B101" s="44" t="s">
        <v>398</v>
      </c>
      <c r="C101" s="7" t="s">
        <v>381</v>
      </c>
      <c r="D101" s="49">
        <v>3.0590000000000002</v>
      </c>
    </row>
    <row r="102" spans="1:4" ht="27" x14ac:dyDescent="0.3">
      <c r="A102" s="45" t="s">
        <v>399</v>
      </c>
      <c r="B102" s="44" t="s">
        <v>400</v>
      </c>
      <c r="C102" s="7" t="s">
        <v>284</v>
      </c>
      <c r="D102" s="49">
        <v>0.77</v>
      </c>
    </row>
    <row r="103" spans="1:4" x14ac:dyDescent="0.3">
      <c r="A103" s="45" t="s">
        <v>1619</v>
      </c>
      <c r="B103" s="44" t="s">
        <v>1620</v>
      </c>
      <c r="C103" s="7" t="s">
        <v>198</v>
      </c>
      <c r="D103" s="49">
        <v>0.72399999999999998</v>
      </c>
    </row>
    <row r="104" spans="1:4" ht="27" x14ac:dyDescent="0.3">
      <c r="A104" s="45" t="s">
        <v>401</v>
      </c>
      <c r="B104" s="44" t="s">
        <v>402</v>
      </c>
      <c r="C104" s="7" t="s">
        <v>284</v>
      </c>
      <c r="D104" s="49">
        <v>1.9279999999999999</v>
      </c>
    </row>
    <row r="105" spans="1:4" ht="27" x14ac:dyDescent="0.3">
      <c r="A105" s="45" t="s">
        <v>403</v>
      </c>
      <c r="B105" s="44" t="s">
        <v>404</v>
      </c>
      <c r="C105" s="7" t="s">
        <v>405</v>
      </c>
      <c r="D105" s="49">
        <v>6.5519999999999996</v>
      </c>
    </row>
    <row r="106" spans="1:4" ht="27" x14ac:dyDescent="0.3">
      <c r="A106" s="46" t="s">
        <v>406</v>
      </c>
      <c r="B106" s="44" t="s">
        <v>407</v>
      </c>
      <c r="C106" s="10" t="s">
        <v>408</v>
      </c>
      <c r="D106" s="49">
        <v>6.5149999999999997</v>
      </c>
    </row>
    <row r="107" spans="1:4" ht="27" x14ac:dyDescent="0.3">
      <c r="A107" s="45" t="s">
        <v>409</v>
      </c>
      <c r="B107" s="44" t="s">
        <v>410</v>
      </c>
      <c r="C107" s="7" t="s">
        <v>295</v>
      </c>
      <c r="D107" s="49">
        <v>0.53</v>
      </c>
    </row>
    <row r="108" spans="1:4" ht="27" x14ac:dyDescent="0.3">
      <c r="A108" s="45" t="s">
        <v>411</v>
      </c>
      <c r="B108" s="44" t="s">
        <v>412</v>
      </c>
      <c r="C108" s="7" t="s">
        <v>413</v>
      </c>
      <c r="D108" s="49">
        <v>2.1269999999999998</v>
      </c>
    </row>
    <row r="109" spans="1:4" ht="27" x14ac:dyDescent="0.3">
      <c r="A109" s="45" t="s">
        <v>414</v>
      </c>
      <c r="B109" s="44" t="s">
        <v>415</v>
      </c>
      <c r="C109" s="7" t="s">
        <v>405</v>
      </c>
      <c r="D109" s="49">
        <v>2.3319999999999999</v>
      </c>
    </row>
    <row r="110" spans="1:4" ht="27" x14ac:dyDescent="0.3">
      <c r="A110" s="45" t="s">
        <v>416</v>
      </c>
      <c r="B110" s="44" t="s">
        <v>417</v>
      </c>
      <c r="C110" s="7" t="s">
        <v>418</v>
      </c>
      <c r="D110" s="49">
        <v>7.4119999999999999</v>
      </c>
    </row>
    <row r="111" spans="1:4" ht="27" x14ac:dyDescent="0.3">
      <c r="A111" s="45" t="s">
        <v>419</v>
      </c>
      <c r="B111" s="44" t="s">
        <v>420</v>
      </c>
      <c r="C111" s="7" t="s">
        <v>199</v>
      </c>
      <c r="D111" s="49">
        <v>3.3319999999999999</v>
      </c>
    </row>
    <row r="112" spans="1:4" ht="27" x14ac:dyDescent="0.3">
      <c r="A112" s="45" t="s">
        <v>421</v>
      </c>
      <c r="B112" s="44" t="s">
        <v>422</v>
      </c>
      <c r="C112" s="7" t="s">
        <v>284</v>
      </c>
      <c r="D112" s="49">
        <v>1.9890000000000001</v>
      </c>
    </row>
    <row r="113" spans="1:4" ht="27" x14ac:dyDescent="0.3">
      <c r="A113" s="45" t="s">
        <v>423</v>
      </c>
      <c r="B113" s="44" t="s">
        <v>424</v>
      </c>
      <c r="C113" s="7" t="s">
        <v>425</v>
      </c>
      <c r="D113" s="49">
        <v>91.887</v>
      </c>
    </row>
    <row r="114" spans="1:4" ht="27" x14ac:dyDescent="0.3">
      <c r="A114" s="48" t="s">
        <v>426</v>
      </c>
      <c r="B114" s="44" t="s">
        <v>427</v>
      </c>
      <c r="C114" s="7" t="s">
        <v>198</v>
      </c>
      <c r="D114" s="49">
        <v>8.2759999999999998</v>
      </c>
    </row>
    <row r="115" spans="1:4" ht="27" x14ac:dyDescent="0.3">
      <c r="A115" s="45" t="s">
        <v>428</v>
      </c>
      <c r="B115" s="44" t="s">
        <v>429</v>
      </c>
      <c r="C115" s="7" t="s">
        <v>405</v>
      </c>
      <c r="D115" s="49">
        <v>32.356999999999999</v>
      </c>
    </row>
    <row r="116" spans="1:4" ht="27" x14ac:dyDescent="0.3">
      <c r="A116" s="45" t="s">
        <v>430</v>
      </c>
      <c r="B116" s="44" t="s">
        <v>431</v>
      </c>
      <c r="C116" s="7" t="s">
        <v>432</v>
      </c>
      <c r="D116" s="49">
        <v>22.827000000000002</v>
      </c>
    </row>
    <row r="117" spans="1:4" ht="27" x14ac:dyDescent="0.3">
      <c r="A117" s="45" t="s">
        <v>433</v>
      </c>
      <c r="B117" s="44" t="s">
        <v>434</v>
      </c>
      <c r="C117" s="7" t="s">
        <v>198</v>
      </c>
      <c r="D117" s="49">
        <v>17.670000000000002</v>
      </c>
    </row>
    <row r="118" spans="1:4" x14ac:dyDescent="0.3">
      <c r="A118" s="45" t="s">
        <v>435</v>
      </c>
      <c r="B118" s="44" t="s">
        <v>436</v>
      </c>
      <c r="C118" s="7" t="s">
        <v>437</v>
      </c>
      <c r="D118" s="49">
        <v>588.846</v>
      </c>
    </row>
    <row r="119" spans="1:4" ht="27" x14ac:dyDescent="0.3">
      <c r="A119" s="45" t="s">
        <v>438</v>
      </c>
      <c r="B119" s="44" t="s">
        <v>439</v>
      </c>
      <c r="C119" s="7" t="s">
        <v>295</v>
      </c>
      <c r="D119" s="49">
        <v>5.7670000000000003</v>
      </c>
    </row>
    <row r="120" spans="1:4" x14ac:dyDescent="0.3">
      <c r="A120" s="45" t="s">
        <v>440</v>
      </c>
      <c r="B120" s="44" t="s">
        <v>441</v>
      </c>
      <c r="C120" s="7" t="s">
        <v>442</v>
      </c>
      <c r="D120" s="49">
        <v>1.1299999999999999</v>
      </c>
    </row>
    <row r="121" spans="1:4" ht="27" x14ac:dyDescent="0.3">
      <c r="A121" s="45" t="s">
        <v>443</v>
      </c>
      <c r="B121" s="44" t="s">
        <v>444</v>
      </c>
      <c r="C121" s="7" t="s">
        <v>445</v>
      </c>
      <c r="D121" s="49">
        <v>17.164000000000001</v>
      </c>
    </row>
    <row r="122" spans="1:4" ht="27" x14ac:dyDescent="0.3">
      <c r="A122" s="45" t="s">
        <v>446</v>
      </c>
      <c r="B122" s="44" t="s">
        <v>447</v>
      </c>
      <c r="C122" s="7" t="s">
        <v>318</v>
      </c>
      <c r="D122" s="49">
        <v>50.704000000000001</v>
      </c>
    </row>
    <row r="123" spans="1:4" ht="27" x14ac:dyDescent="0.3">
      <c r="A123" s="45" t="s">
        <v>448</v>
      </c>
      <c r="B123" s="44" t="s">
        <v>449</v>
      </c>
      <c r="C123" s="7" t="s">
        <v>199</v>
      </c>
      <c r="D123" s="49">
        <v>6.4249999999999998</v>
      </c>
    </row>
    <row r="124" spans="1:4" ht="27" x14ac:dyDescent="0.3">
      <c r="A124" s="45" t="s">
        <v>1621</v>
      </c>
      <c r="B124" s="44" t="s">
        <v>1622</v>
      </c>
      <c r="C124" s="7" t="s">
        <v>200</v>
      </c>
      <c r="D124" s="49">
        <v>122.437</v>
      </c>
    </row>
    <row r="125" spans="1:4" ht="27" x14ac:dyDescent="0.3">
      <c r="A125" s="45" t="s">
        <v>450</v>
      </c>
      <c r="B125" s="44" t="s">
        <v>451</v>
      </c>
      <c r="C125" s="7" t="s">
        <v>452</v>
      </c>
      <c r="D125" s="49">
        <v>9.3699999999999992</v>
      </c>
    </row>
    <row r="126" spans="1:4" ht="27" x14ac:dyDescent="0.3">
      <c r="A126" s="45" t="s">
        <v>453</v>
      </c>
      <c r="B126" s="44" t="s">
        <v>454</v>
      </c>
      <c r="C126" s="7" t="s">
        <v>455</v>
      </c>
      <c r="D126" s="49">
        <v>3995.82</v>
      </c>
    </row>
    <row r="127" spans="1:4" ht="27" x14ac:dyDescent="0.3">
      <c r="A127" s="45" t="s">
        <v>456</v>
      </c>
      <c r="B127" s="44" t="s">
        <v>457</v>
      </c>
      <c r="C127" s="7" t="s">
        <v>458</v>
      </c>
      <c r="D127" s="49">
        <v>46.234999999999999</v>
      </c>
    </row>
    <row r="128" spans="1:4" ht="27" x14ac:dyDescent="0.3">
      <c r="A128" s="47" t="s">
        <v>459</v>
      </c>
      <c r="B128" s="44" t="s">
        <v>460</v>
      </c>
      <c r="C128" s="7" t="s">
        <v>461</v>
      </c>
      <c r="D128" s="49">
        <v>3099.37</v>
      </c>
    </row>
    <row r="129" spans="1:4" ht="27" x14ac:dyDescent="0.3">
      <c r="A129" s="45" t="s">
        <v>1563</v>
      </c>
      <c r="B129" s="44" t="s">
        <v>1564</v>
      </c>
      <c r="C129" s="7" t="s">
        <v>781</v>
      </c>
      <c r="D129" s="49">
        <v>1264.3969999999999</v>
      </c>
    </row>
    <row r="130" spans="1:4" ht="27" x14ac:dyDescent="0.3">
      <c r="A130" s="45" t="s">
        <v>462</v>
      </c>
      <c r="B130" s="44" t="s">
        <v>463</v>
      </c>
      <c r="C130" s="7" t="s">
        <v>464</v>
      </c>
      <c r="D130" s="49">
        <v>1479.74</v>
      </c>
    </row>
    <row r="131" spans="1:4" ht="27" x14ac:dyDescent="0.3">
      <c r="A131" s="46" t="s">
        <v>465</v>
      </c>
      <c r="B131" s="44" t="s">
        <v>466</v>
      </c>
      <c r="C131" s="10" t="s">
        <v>200</v>
      </c>
      <c r="D131" s="49">
        <v>15.345000000000001</v>
      </c>
    </row>
    <row r="132" spans="1:4" x14ac:dyDescent="0.3">
      <c r="A132" s="45" t="s">
        <v>467</v>
      </c>
      <c r="B132" s="44" t="s">
        <v>468</v>
      </c>
      <c r="C132" s="7" t="s">
        <v>198</v>
      </c>
      <c r="D132" s="49">
        <v>0.13600000000000001</v>
      </c>
    </row>
    <row r="133" spans="1:4" ht="27" x14ac:dyDescent="0.3">
      <c r="A133" s="45" t="s">
        <v>469</v>
      </c>
      <c r="B133" s="44" t="s">
        <v>470</v>
      </c>
      <c r="C133" s="7" t="s">
        <v>452</v>
      </c>
      <c r="D133" s="49">
        <v>3.786</v>
      </c>
    </row>
    <row r="134" spans="1:4" ht="27" x14ac:dyDescent="0.3">
      <c r="A134" s="45" t="s">
        <v>471</v>
      </c>
      <c r="B134" s="44" t="s">
        <v>472</v>
      </c>
      <c r="C134" s="7" t="s">
        <v>452</v>
      </c>
      <c r="D134" s="49">
        <v>3.786</v>
      </c>
    </row>
    <row r="135" spans="1:4" ht="27" x14ac:dyDescent="0.3">
      <c r="A135" s="45" t="s">
        <v>473</v>
      </c>
      <c r="B135" s="44" t="s">
        <v>474</v>
      </c>
      <c r="C135" s="7" t="s">
        <v>432</v>
      </c>
      <c r="D135" s="49">
        <v>9.6959999999999997</v>
      </c>
    </row>
    <row r="136" spans="1:4" ht="27" x14ac:dyDescent="0.3">
      <c r="A136" s="45" t="s">
        <v>475</v>
      </c>
      <c r="B136" s="44" t="s">
        <v>476</v>
      </c>
      <c r="C136" s="11" t="s">
        <v>452</v>
      </c>
      <c r="D136" s="49">
        <v>1.4850000000000001</v>
      </c>
    </row>
    <row r="137" spans="1:4" ht="27" x14ac:dyDescent="0.3">
      <c r="A137" s="45" t="s">
        <v>477</v>
      </c>
      <c r="B137" s="44" t="s">
        <v>478</v>
      </c>
      <c r="C137" s="11" t="s">
        <v>452</v>
      </c>
      <c r="D137" s="49">
        <v>1.4850000000000001</v>
      </c>
    </row>
    <row r="138" spans="1:4" x14ac:dyDescent="0.3">
      <c r="A138" s="45" t="s">
        <v>479</v>
      </c>
      <c r="B138" s="44" t="s">
        <v>480</v>
      </c>
      <c r="C138" s="7" t="s">
        <v>198</v>
      </c>
      <c r="D138" s="49">
        <v>4.2809999999999997</v>
      </c>
    </row>
    <row r="139" spans="1:4" ht="27" x14ac:dyDescent="0.3">
      <c r="A139" s="45" t="s">
        <v>481</v>
      </c>
      <c r="B139" s="44" t="s">
        <v>482</v>
      </c>
      <c r="C139" s="7" t="s">
        <v>284</v>
      </c>
      <c r="D139" s="49">
        <v>8.0340000000000007</v>
      </c>
    </row>
    <row r="140" spans="1:4" x14ac:dyDescent="0.3">
      <c r="A140" s="45" t="s">
        <v>483</v>
      </c>
      <c r="B140" s="44" t="s">
        <v>484</v>
      </c>
      <c r="C140" s="7" t="s">
        <v>198</v>
      </c>
      <c r="D140" s="49">
        <v>19.901</v>
      </c>
    </row>
    <row r="141" spans="1:4" ht="27" x14ac:dyDescent="0.3">
      <c r="A141" s="45" t="s">
        <v>485</v>
      </c>
      <c r="B141" s="44" t="s">
        <v>486</v>
      </c>
      <c r="C141" s="7" t="s">
        <v>200</v>
      </c>
      <c r="D141" s="49">
        <v>23.684999999999999</v>
      </c>
    </row>
    <row r="142" spans="1:4" ht="27" x14ac:dyDescent="0.3">
      <c r="A142" s="45" t="s">
        <v>487</v>
      </c>
      <c r="B142" s="44" t="s">
        <v>488</v>
      </c>
      <c r="C142" s="7" t="s">
        <v>311</v>
      </c>
      <c r="D142" s="49">
        <v>3.6139999999999999</v>
      </c>
    </row>
    <row r="143" spans="1:4" ht="27" x14ac:dyDescent="0.3">
      <c r="A143" s="45" t="s">
        <v>489</v>
      </c>
      <c r="B143" s="44" t="s">
        <v>490</v>
      </c>
      <c r="C143" s="7" t="s">
        <v>491</v>
      </c>
      <c r="D143" s="49">
        <v>6.093</v>
      </c>
    </row>
    <row r="144" spans="1:4" ht="27" x14ac:dyDescent="0.3">
      <c r="A144" s="45" t="s">
        <v>492</v>
      </c>
      <c r="B144" s="44" t="s">
        <v>493</v>
      </c>
      <c r="C144" s="7" t="s">
        <v>494</v>
      </c>
      <c r="D144" s="49">
        <v>11.698</v>
      </c>
    </row>
    <row r="145" spans="1:4" ht="27" x14ac:dyDescent="0.3">
      <c r="A145" s="45" t="s">
        <v>495</v>
      </c>
      <c r="B145" s="44" t="s">
        <v>496</v>
      </c>
      <c r="C145" s="7" t="s">
        <v>198</v>
      </c>
      <c r="D145" s="49">
        <v>0.55700000000000005</v>
      </c>
    </row>
    <row r="146" spans="1:4" ht="27" x14ac:dyDescent="0.3">
      <c r="A146" s="45" t="s">
        <v>497</v>
      </c>
      <c r="B146" s="44" t="s">
        <v>498</v>
      </c>
      <c r="C146" s="7" t="s">
        <v>198</v>
      </c>
      <c r="D146" s="49">
        <v>2.5999999999999999E-2</v>
      </c>
    </row>
    <row r="147" spans="1:4" ht="27" x14ac:dyDescent="0.3">
      <c r="A147" s="45" t="s">
        <v>499</v>
      </c>
      <c r="B147" s="44" t="s">
        <v>500</v>
      </c>
      <c r="C147" s="7" t="s">
        <v>198</v>
      </c>
      <c r="D147" s="49">
        <v>0.115</v>
      </c>
    </row>
    <row r="148" spans="1:4" ht="40.200000000000003" x14ac:dyDescent="0.3">
      <c r="A148" s="45" t="s">
        <v>501</v>
      </c>
      <c r="B148" s="44" t="s">
        <v>502</v>
      </c>
      <c r="C148" s="7" t="s">
        <v>198</v>
      </c>
      <c r="D148" s="49">
        <v>68.563999999999993</v>
      </c>
    </row>
    <row r="149" spans="1:4" ht="27" x14ac:dyDescent="0.3">
      <c r="A149" s="45" t="s">
        <v>503</v>
      </c>
      <c r="B149" s="44" t="s">
        <v>504</v>
      </c>
      <c r="C149" s="7" t="s">
        <v>284</v>
      </c>
      <c r="D149" s="49">
        <v>18.597000000000001</v>
      </c>
    </row>
    <row r="150" spans="1:4" x14ac:dyDescent="0.3">
      <c r="A150" s="45" t="s">
        <v>505</v>
      </c>
      <c r="B150" s="44" t="s">
        <v>506</v>
      </c>
      <c r="C150" s="7" t="s">
        <v>396</v>
      </c>
      <c r="D150" s="49">
        <v>11.406000000000001</v>
      </c>
    </row>
    <row r="151" spans="1:4" ht="27" x14ac:dyDescent="0.3">
      <c r="A151" s="45" t="s">
        <v>507</v>
      </c>
      <c r="B151" s="44" t="s">
        <v>508</v>
      </c>
      <c r="C151" s="7" t="s">
        <v>464</v>
      </c>
      <c r="D151" s="49">
        <v>3965.21</v>
      </c>
    </row>
    <row r="152" spans="1:4" ht="27" x14ac:dyDescent="0.3">
      <c r="A152" s="45" t="s">
        <v>509</v>
      </c>
      <c r="B152" s="44" t="s">
        <v>510</v>
      </c>
      <c r="C152" s="7" t="s">
        <v>209</v>
      </c>
      <c r="D152" s="49">
        <v>0.40600000000000003</v>
      </c>
    </row>
    <row r="153" spans="1:4" ht="27" x14ac:dyDescent="0.3">
      <c r="A153" s="45" t="s">
        <v>511</v>
      </c>
      <c r="B153" s="44" t="s">
        <v>512</v>
      </c>
      <c r="C153" s="7" t="s">
        <v>513</v>
      </c>
      <c r="D153" s="49">
        <v>3.109</v>
      </c>
    </row>
    <row r="154" spans="1:4" ht="27" x14ac:dyDescent="0.3">
      <c r="A154" s="45" t="s">
        <v>514</v>
      </c>
      <c r="B154" s="44" t="s">
        <v>515</v>
      </c>
      <c r="C154" s="7" t="s">
        <v>295</v>
      </c>
      <c r="D154" s="49">
        <v>211.45699999999999</v>
      </c>
    </row>
    <row r="155" spans="1:4" ht="27" x14ac:dyDescent="0.3">
      <c r="A155" s="45" t="s">
        <v>516</v>
      </c>
      <c r="B155" s="44" t="s">
        <v>517</v>
      </c>
      <c r="C155" s="7" t="s">
        <v>209</v>
      </c>
      <c r="D155" s="49">
        <v>0.71599999999999997</v>
      </c>
    </row>
    <row r="156" spans="1:4" ht="27" x14ac:dyDescent="0.3">
      <c r="A156" s="45" t="s">
        <v>518</v>
      </c>
      <c r="B156" s="44" t="s">
        <v>519</v>
      </c>
      <c r="C156" s="7" t="s">
        <v>284</v>
      </c>
      <c r="D156" s="49">
        <v>54.603000000000002</v>
      </c>
    </row>
    <row r="157" spans="1:4" ht="27" x14ac:dyDescent="0.3">
      <c r="A157" s="45" t="s">
        <v>520</v>
      </c>
      <c r="B157" s="44" t="s">
        <v>521</v>
      </c>
      <c r="C157" s="7" t="s">
        <v>522</v>
      </c>
      <c r="D157" s="49">
        <v>632.96900000000005</v>
      </c>
    </row>
    <row r="158" spans="1:4" x14ac:dyDescent="0.3">
      <c r="A158" s="45" t="s">
        <v>523</v>
      </c>
      <c r="B158" s="44" t="s">
        <v>524</v>
      </c>
      <c r="C158" s="7" t="s">
        <v>199</v>
      </c>
      <c r="D158" s="49">
        <v>17.512</v>
      </c>
    </row>
    <row r="159" spans="1:4" ht="27" x14ac:dyDescent="0.3">
      <c r="A159" s="45" t="s">
        <v>525</v>
      </c>
      <c r="B159" s="44" t="s">
        <v>526</v>
      </c>
      <c r="C159" s="7" t="s">
        <v>209</v>
      </c>
      <c r="D159" s="49">
        <v>7.085</v>
      </c>
    </row>
    <row r="160" spans="1:4" ht="27" x14ac:dyDescent="0.3">
      <c r="A160" s="45" t="s">
        <v>527</v>
      </c>
      <c r="B160" s="44" t="s">
        <v>528</v>
      </c>
      <c r="C160" s="7" t="s">
        <v>199</v>
      </c>
      <c r="D160" s="49">
        <v>3.3479999999999999</v>
      </c>
    </row>
    <row r="161" spans="1:4" ht="27" x14ac:dyDescent="0.3">
      <c r="A161" s="45" t="s">
        <v>529</v>
      </c>
      <c r="B161" s="44" t="s">
        <v>530</v>
      </c>
      <c r="C161" s="7" t="s">
        <v>295</v>
      </c>
      <c r="D161" s="49">
        <v>5.9630000000000001</v>
      </c>
    </row>
    <row r="162" spans="1:4" x14ac:dyDescent="0.3">
      <c r="A162" s="45" t="s">
        <v>531</v>
      </c>
      <c r="B162" s="44" t="s">
        <v>532</v>
      </c>
      <c r="C162" s="7" t="s">
        <v>491</v>
      </c>
      <c r="D162" s="49">
        <v>0.67600000000000005</v>
      </c>
    </row>
    <row r="163" spans="1:4" ht="27" x14ac:dyDescent="0.3">
      <c r="A163" s="45" t="s">
        <v>533</v>
      </c>
      <c r="B163" s="44" t="s">
        <v>534</v>
      </c>
      <c r="C163" s="7" t="s">
        <v>452</v>
      </c>
      <c r="D163" s="49">
        <v>0.38100000000000001</v>
      </c>
    </row>
    <row r="164" spans="1:4" x14ac:dyDescent="0.3">
      <c r="A164" s="45" t="s">
        <v>535</v>
      </c>
      <c r="B164" s="44" t="s">
        <v>536</v>
      </c>
      <c r="C164" s="7" t="s">
        <v>198</v>
      </c>
      <c r="D164" s="49">
        <v>485.29300000000001</v>
      </c>
    </row>
    <row r="165" spans="1:4" x14ac:dyDescent="0.3">
      <c r="A165" s="45" t="s">
        <v>537</v>
      </c>
      <c r="B165" s="44" t="s">
        <v>538</v>
      </c>
      <c r="C165" s="7" t="s">
        <v>199</v>
      </c>
      <c r="D165" s="49">
        <v>230.47900000000001</v>
      </c>
    </row>
    <row r="166" spans="1:4" ht="27" x14ac:dyDescent="0.3">
      <c r="A166" s="45" t="s">
        <v>539</v>
      </c>
      <c r="B166" s="44" t="s">
        <v>540</v>
      </c>
      <c r="C166" s="7" t="s">
        <v>198</v>
      </c>
      <c r="D166" s="49">
        <v>19.885999999999999</v>
      </c>
    </row>
    <row r="167" spans="1:4" ht="27" x14ac:dyDescent="0.3">
      <c r="A167" s="45" t="s">
        <v>1565</v>
      </c>
      <c r="B167" s="44" t="s">
        <v>1566</v>
      </c>
      <c r="C167" s="7" t="s">
        <v>199</v>
      </c>
      <c r="D167" s="49">
        <v>226.27500000000001</v>
      </c>
    </row>
    <row r="168" spans="1:4" ht="27" x14ac:dyDescent="0.3">
      <c r="A168" s="45" t="s">
        <v>541</v>
      </c>
      <c r="B168" s="44" t="s">
        <v>542</v>
      </c>
      <c r="C168" s="7" t="s">
        <v>198</v>
      </c>
      <c r="D168" s="49">
        <v>246.041</v>
      </c>
    </row>
    <row r="169" spans="1:4" ht="27" x14ac:dyDescent="0.3">
      <c r="A169" s="45" t="s">
        <v>543</v>
      </c>
      <c r="B169" s="44" t="s">
        <v>544</v>
      </c>
      <c r="C169" s="7" t="s">
        <v>396</v>
      </c>
      <c r="D169" s="49">
        <v>16.314</v>
      </c>
    </row>
    <row r="170" spans="1:4" x14ac:dyDescent="0.3">
      <c r="A170" s="45" t="s">
        <v>545</v>
      </c>
      <c r="B170" s="44" t="s">
        <v>546</v>
      </c>
      <c r="C170" s="7" t="s">
        <v>284</v>
      </c>
      <c r="D170" s="49">
        <v>35.329000000000001</v>
      </c>
    </row>
    <row r="171" spans="1:4" ht="27" x14ac:dyDescent="0.3">
      <c r="A171" s="45" t="s">
        <v>547</v>
      </c>
      <c r="B171" s="44" t="s">
        <v>548</v>
      </c>
      <c r="C171" s="7" t="s">
        <v>284</v>
      </c>
      <c r="D171" s="49">
        <v>79.08</v>
      </c>
    </row>
    <row r="172" spans="1:4" ht="27" x14ac:dyDescent="0.3">
      <c r="A172" s="45" t="s">
        <v>549</v>
      </c>
      <c r="B172" s="44" t="s">
        <v>550</v>
      </c>
      <c r="C172" s="7" t="s">
        <v>199</v>
      </c>
      <c r="D172" s="49">
        <v>7.9909999999999997</v>
      </c>
    </row>
    <row r="173" spans="1:4" ht="27" x14ac:dyDescent="0.3">
      <c r="A173" s="45" t="s">
        <v>551</v>
      </c>
      <c r="B173" s="44" t="s">
        <v>552</v>
      </c>
      <c r="C173" s="7" t="s">
        <v>553</v>
      </c>
      <c r="D173" s="49">
        <v>322.553</v>
      </c>
    </row>
    <row r="174" spans="1:4" ht="27" x14ac:dyDescent="0.3">
      <c r="A174" s="45" t="s">
        <v>554</v>
      </c>
      <c r="B174" s="44" t="s">
        <v>555</v>
      </c>
      <c r="C174" s="7" t="s">
        <v>257</v>
      </c>
      <c r="D174" s="49">
        <v>444.09899999999999</v>
      </c>
    </row>
    <row r="175" spans="1:4" ht="27" x14ac:dyDescent="0.3">
      <c r="A175" s="45" t="s">
        <v>556</v>
      </c>
      <c r="B175" s="44" t="s">
        <v>557</v>
      </c>
      <c r="C175" s="7" t="s">
        <v>198</v>
      </c>
      <c r="D175" s="49">
        <v>1.1200000000000001</v>
      </c>
    </row>
    <row r="176" spans="1:4" ht="27" x14ac:dyDescent="0.3">
      <c r="A176" s="45" t="s">
        <v>558</v>
      </c>
      <c r="B176" s="44" t="s">
        <v>559</v>
      </c>
      <c r="C176" s="7" t="s">
        <v>452</v>
      </c>
      <c r="D176" s="49">
        <v>0.91800000000000004</v>
      </c>
    </row>
    <row r="177" spans="1:4" ht="27" x14ac:dyDescent="0.3">
      <c r="A177" s="45" t="s">
        <v>560</v>
      </c>
      <c r="B177" s="44" t="s">
        <v>561</v>
      </c>
      <c r="C177" s="7" t="s">
        <v>452</v>
      </c>
      <c r="D177" s="49">
        <v>0.47499999999999998</v>
      </c>
    </row>
    <row r="178" spans="1:4" x14ac:dyDescent="0.3">
      <c r="A178" s="45" t="s">
        <v>562</v>
      </c>
      <c r="B178" s="44" t="s">
        <v>563</v>
      </c>
      <c r="C178" s="7" t="s">
        <v>442</v>
      </c>
      <c r="D178" s="49">
        <v>16.105</v>
      </c>
    </row>
    <row r="179" spans="1:4" ht="27" x14ac:dyDescent="0.3">
      <c r="A179" s="45" t="s">
        <v>564</v>
      </c>
      <c r="B179" s="44" t="s">
        <v>565</v>
      </c>
      <c r="C179" s="7" t="s">
        <v>198</v>
      </c>
      <c r="D179" s="49">
        <v>1.075</v>
      </c>
    </row>
    <row r="180" spans="1:4" ht="27" x14ac:dyDescent="0.3">
      <c r="A180" s="46" t="s">
        <v>566</v>
      </c>
      <c r="B180" s="44" t="s">
        <v>567</v>
      </c>
      <c r="C180" s="10" t="s">
        <v>458</v>
      </c>
      <c r="D180" s="49">
        <v>375.16699999999997</v>
      </c>
    </row>
    <row r="181" spans="1:4" x14ac:dyDescent="0.3">
      <c r="A181" s="45" t="s">
        <v>568</v>
      </c>
      <c r="B181" s="44" t="s">
        <v>569</v>
      </c>
      <c r="C181" s="7" t="s">
        <v>198</v>
      </c>
      <c r="D181" s="49">
        <v>405.56400000000002</v>
      </c>
    </row>
    <row r="182" spans="1:4" ht="27" x14ac:dyDescent="0.3">
      <c r="A182" s="45" t="s">
        <v>570</v>
      </c>
      <c r="B182" s="44" t="s">
        <v>571</v>
      </c>
      <c r="C182" s="7" t="s">
        <v>284</v>
      </c>
      <c r="D182" s="49">
        <v>41.276000000000003</v>
      </c>
    </row>
    <row r="183" spans="1:4" ht="27" x14ac:dyDescent="0.3">
      <c r="A183" s="45" t="s">
        <v>572</v>
      </c>
      <c r="B183" s="44" t="s">
        <v>573</v>
      </c>
      <c r="C183" s="7" t="s">
        <v>574</v>
      </c>
      <c r="D183" s="49">
        <v>42.692999999999998</v>
      </c>
    </row>
    <row r="184" spans="1:4" x14ac:dyDescent="0.3">
      <c r="A184" s="45" t="s">
        <v>575</v>
      </c>
      <c r="B184" s="44" t="s">
        <v>576</v>
      </c>
      <c r="C184" s="7" t="s">
        <v>257</v>
      </c>
      <c r="D184" s="49">
        <v>13.917</v>
      </c>
    </row>
    <row r="185" spans="1:4" ht="27" x14ac:dyDescent="0.3">
      <c r="A185" s="46" t="s">
        <v>577</v>
      </c>
      <c r="B185" s="44" t="s">
        <v>578</v>
      </c>
      <c r="C185" s="10" t="s">
        <v>284</v>
      </c>
      <c r="D185" s="49">
        <v>70.489999999999995</v>
      </c>
    </row>
    <row r="186" spans="1:4" x14ac:dyDescent="0.3">
      <c r="A186" s="45" t="s">
        <v>579</v>
      </c>
      <c r="B186" s="44" t="s">
        <v>580</v>
      </c>
      <c r="C186" s="7" t="s">
        <v>284</v>
      </c>
      <c r="D186" s="49">
        <v>53.534999999999997</v>
      </c>
    </row>
    <row r="187" spans="1:4" x14ac:dyDescent="0.3">
      <c r="A187" s="45" t="s">
        <v>1623</v>
      </c>
      <c r="B187" s="44" t="s">
        <v>1624</v>
      </c>
      <c r="C187" s="7" t="s">
        <v>257</v>
      </c>
      <c r="D187" s="49">
        <v>16.841999999999999</v>
      </c>
    </row>
    <row r="188" spans="1:4" x14ac:dyDescent="0.3">
      <c r="A188" s="45" t="s">
        <v>581</v>
      </c>
      <c r="B188" s="44" t="s">
        <v>582</v>
      </c>
      <c r="C188" s="7" t="s">
        <v>257</v>
      </c>
      <c r="D188" s="49">
        <v>10.792999999999999</v>
      </c>
    </row>
    <row r="189" spans="1:4" ht="27" x14ac:dyDescent="0.3">
      <c r="A189" s="45" t="s">
        <v>583</v>
      </c>
      <c r="B189" s="44" t="s">
        <v>584</v>
      </c>
      <c r="C189" s="7" t="s">
        <v>585</v>
      </c>
      <c r="D189" s="49">
        <v>426.92899999999997</v>
      </c>
    </row>
    <row r="190" spans="1:4" ht="27" x14ac:dyDescent="0.3">
      <c r="A190" s="45" t="s">
        <v>586</v>
      </c>
      <c r="B190" s="44" t="s">
        <v>587</v>
      </c>
      <c r="C190" s="7" t="s">
        <v>284</v>
      </c>
      <c r="D190" s="49">
        <v>41.691000000000003</v>
      </c>
    </row>
    <row r="191" spans="1:4" ht="27" x14ac:dyDescent="0.3">
      <c r="A191" s="45" t="s">
        <v>588</v>
      </c>
      <c r="B191" s="44" t="s">
        <v>589</v>
      </c>
      <c r="C191" s="7" t="s">
        <v>284</v>
      </c>
      <c r="D191" s="49">
        <v>66.935000000000002</v>
      </c>
    </row>
    <row r="192" spans="1:4" x14ac:dyDescent="0.3">
      <c r="A192" s="45" t="s">
        <v>590</v>
      </c>
      <c r="B192" s="44" t="s">
        <v>591</v>
      </c>
      <c r="C192" s="7" t="s">
        <v>284</v>
      </c>
      <c r="D192" s="49">
        <v>38.96</v>
      </c>
    </row>
    <row r="193" spans="1:4" ht="27" x14ac:dyDescent="0.3">
      <c r="A193" s="45" t="s">
        <v>592</v>
      </c>
      <c r="B193" s="44" t="s">
        <v>593</v>
      </c>
      <c r="C193" s="7" t="s">
        <v>284</v>
      </c>
      <c r="D193" s="49">
        <v>42.031999999999996</v>
      </c>
    </row>
    <row r="194" spans="1:4" ht="27" x14ac:dyDescent="0.3">
      <c r="A194" s="45" t="s">
        <v>594</v>
      </c>
      <c r="B194" s="44" t="s">
        <v>595</v>
      </c>
      <c r="C194" s="7" t="s">
        <v>284</v>
      </c>
      <c r="D194" s="49">
        <v>9</v>
      </c>
    </row>
    <row r="195" spans="1:4" ht="27" x14ac:dyDescent="0.3">
      <c r="A195" s="45" t="s">
        <v>596</v>
      </c>
      <c r="B195" s="44" t="s">
        <v>597</v>
      </c>
      <c r="C195" s="7" t="s">
        <v>216</v>
      </c>
      <c r="D195" s="49">
        <v>63.670999999999999</v>
      </c>
    </row>
    <row r="196" spans="1:4" ht="27" x14ac:dyDescent="0.3">
      <c r="A196" s="45" t="s">
        <v>598</v>
      </c>
      <c r="B196" s="44" t="s">
        <v>599</v>
      </c>
      <c r="C196" s="7" t="s">
        <v>284</v>
      </c>
      <c r="D196" s="49">
        <v>37.432000000000002</v>
      </c>
    </row>
    <row r="197" spans="1:4" ht="27" x14ac:dyDescent="0.3">
      <c r="A197" s="46" t="s">
        <v>600</v>
      </c>
      <c r="B197" s="44" t="s">
        <v>601</v>
      </c>
      <c r="C197" s="10" t="s">
        <v>257</v>
      </c>
      <c r="D197" s="49">
        <v>14.067</v>
      </c>
    </row>
    <row r="198" spans="1:4" ht="27" x14ac:dyDescent="0.3">
      <c r="A198" s="45" t="s">
        <v>602</v>
      </c>
      <c r="B198" s="44" t="s">
        <v>603</v>
      </c>
      <c r="C198" s="7" t="s">
        <v>494</v>
      </c>
      <c r="D198" s="49">
        <v>1.9359999999999999</v>
      </c>
    </row>
    <row r="199" spans="1:4" ht="27" x14ac:dyDescent="0.3">
      <c r="A199" s="45" t="s">
        <v>604</v>
      </c>
      <c r="B199" s="44" t="s">
        <v>605</v>
      </c>
      <c r="C199" s="7" t="s">
        <v>198</v>
      </c>
      <c r="D199" s="49">
        <v>19.995000000000001</v>
      </c>
    </row>
    <row r="200" spans="1:4" ht="27" x14ac:dyDescent="0.3">
      <c r="A200" s="45" t="s">
        <v>606</v>
      </c>
      <c r="B200" s="44" t="s">
        <v>607</v>
      </c>
      <c r="C200" s="7" t="s">
        <v>198</v>
      </c>
      <c r="D200" s="49">
        <v>199.13399999999999</v>
      </c>
    </row>
    <row r="201" spans="1:4" ht="27" x14ac:dyDescent="0.3">
      <c r="A201" s="45" t="s">
        <v>608</v>
      </c>
      <c r="B201" s="44" t="s">
        <v>609</v>
      </c>
      <c r="C201" s="7" t="s">
        <v>610</v>
      </c>
      <c r="D201" s="49">
        <v>0.26</v>
      </c>
    </row>
    <row r="202" spans="1:4" ht="27" x14ac:dyDescent="0.3">
      <c r="A202" s="45" t="s">
        <v>611</v>
      </c>
      <c r="B202" s="44" t="s">
        <v>612</v>
      </c>
      <c r="C202" s="7" t="s">
        <v>273</v>
      </c>
      <c r="D202" s="49">
        <v>1.0269999999999999</v>
      </c>
    </row>
    <row r="203" spans="1:4" x14ac:dyDescent="0.3">
      <c r="A203" s="45" t="s">
        <v>613</v>
      </c>
      <c r="B203" s="44" t="s">
        <v>614</v>
      </c>
      <c r="C203" s="7" t="s">
        <v>200</v>
      </c>
      <c r="D203" s="49">
        <v>0.98799999999999999</v>
      </c>
    </row>
    <row r="204" spans="1:4" ht="27" x14ac:dyDescent="0.3">
      <c r="A204" s="45" t="s">
        <v>615</v>
      </c>
      <c r="B204" s="44" t="s">
        <v>616</v>
      </c>
      <c r="C204" s="7" t="s">
        <v>209</v>
      </c>
      <c r="D204" s="49">
        <v>15.648999999999999</v>
      </c>
    </row>
    <row r="205" spans="1:4" x14ac:dyDescent="0.3">
      <c r="A205" s="45" t="s">
        <v>617</v>
      </c>
      <c r="B205" s="44" t="s">
        <v>618</v>
      </c>
      <c r="C205" s="7" t="s">
        <v>198</v>
      </c>
      <c r="D205" s="49">
        <v>24.314</v>
      </c>
    </row>
    <row r="206" spans="1:4" ht="27" x14ac:dyDescent="0.3">
      <c r="A206" s="45" t="s">
        <v>619</v>
      </c>
      <c r="B206" s="44" t="s">
        <v>620</v>
      </c>
      <c r="C206" s="7" t="s">
        <v>371</v>
      </c>
      <c r="D206" s="49">
        <v>1.4E-2</v>
      </c>
    </row>
    <row r="207" spans="1:4" ht="27" x14ac:dyDescent="0.3">
      <c r="A207" s="45" t="s">
        <v>621</v>
      </c>
      <c r="B207" s="44" t="s">
        <v>622</v>
      </c>
      <c r="C207" s="7" t="s">
        <v>432</v>
      </c>
      <c r="D207" s="49">
        <v>0.24885893802145123</v>
      </c>
    </row>
    <row r="208" spans="1:4" x14ac:dyDescent="0.3">
      <c r="A208" s="45" t="s">
        <v>623</v>
      </c>
      <c r="B208" s="44" t="s">
        <v>624</v>
      </c>
      <c r="C208" s="7" t="s">
        <v>625</v>
      </c>
      <c r="D208" s="49">
        <v>11.329000000000001</v>
      </c>
    </row>
    <row r="209" spans="1:4" ht="27" x14ac:dyDescent="0.3">
      <c r="A209" s="45" t="s">
        <v>626</v>
      </c>
      <c r="B209" s="44" t="s">
        <v>627</v>
      </c>
      <c r="C209" s="7" t="s">
        <v>199</v>
      </c>
      <c r="D209" s="49">
        <v>0.68899999999999995</v>
      </c>
    </row>
    <row r="210" spans="1:4" ht="27" x14ac:dyDescent="0.3">
      <c r="A210" s="45" t="s">
        <v>628</v>
      </c>
      <c r="B210" s="44" t="s">
        <v>629</v>
      </c>
      <c r="C210" s="7" t="s">
        <v>396</v>
      </c>
      <c r="D210" s="49">
        <v>1.4670000000000001</v>
      </c>
    </row>
    <row r="211" spans="1:4" ht="27" x14ac:dyDescent="0.3">
      <c r="A211" s="45" t="s">
        <v>630</v>
      </c>
      <c r="B211" s="44" t="s">
        <v>631</v>
      </c>
      <c r="C211" s="7" t="s">
        <v>632</v>
      </c>
      <c r="D211" s="49">
        <v>535.77800000000002</v>
      </c>
    </row>
    <row r="212" spans="1:4" ht="27" x14ac:dyDescent="0.3">
      <c r="A212" s="45" t="s">
        <v>633</v>
      </c>
      <c r="B212" s="44" t="s">
        <v>634</v>
      </c>
      <c r="C212" s="7" t="s">
        <v>257</v>
      </c>
      <c r="D212" s="49">
        <v>14.141999999999999</v>
      </c>
    </row>
    <row r="213" spans="1:4" ht="27" x14ac:dyDescent="0.3">
      <c r="A213" s="45" t="s">
        <v>635</v>
      </c>
      <c r="B213" s="44" t="s">
        <v>636</v>
      </c>
      <c r="C213" s="7" t="s">
        <v>198</v>
      </c>
      <c r="D213" s="49">
        <v>47.563000000000002</v>
      </c>
    </row>
    <row r="214" spans="1:4" ht="27" x14ac:dyDescent="0.3">
      <c r="A214" s="45" t="s">
        <v>637</v>
      </c>
      <c r="B214" s="44" t="s">
        <v>638</v>
      </c>
      <c r="C214" s="7" t="s">
        <v>198</v>
      </c>
      <c r="D214" s="49">
        <v>237.98500000000001</v>
      </c>
    </row>
    <row r="215" spans="1:4" x14ac:dyDescent="0.3">
      <c r="A215" s="45" t="s">
        <v>639</v>
      </c>
      <c r="B215" s="44" t="s">
        <v>640</v>
      </c>
      <c r="C215" s="7" t="s">
        <v>198</v>
      </c>
      <c r="D215" s="49">
        <v>542.91700000000003</v>
      </c>
    </row>
    <row r="216" spans="1:4" ht="27" x14ac:dyDescent="0.3">
      <c r="A216" s="45" t="s">
        <v>641</v>
      </c>
      <c r="B216" s="44" t="s">
        <v>642</v>
      </c>
      <c r="C216" s="7" t="s">
        <v>199</v>
      </c>
      <c r="D216" s="49">
        <v>51.2</v>
      </c>
    </row>
    <row r="217" spans="1:4" ht="27" x14ac:dyDescent="0.3">
      <c r="A217" s="45" t="s">
        <v>1567</v>
      </c>
      <c r="B217" s="44" t="s">
        <v>1568</v>
      </c>
      <c r="C217" s="7" t="s">
        <v>199</v>
      </c>
      <c r="D217" s="49">
        <v>60.155000000000001</v>
      </c>
    </row>
    <row r="218" spans="1:4" x14ac:dyDescent="0.3">
      <c r="A218" s="45" t="s">
        <v>643</v>
      </c>
      <c r="B218" s="44" t="s">
        <v>644</v>
      </c>
      <c r="C218" s="7" t="s">
        <v>209</v>
      </c>
      <c r="D218" s="49">
        <v>15.02</v>
      </c>
    </row>
    <row r="219" spans="1:4" ht="27" x14ac:dyDescent="0.3">
      <c r="A219" s="45" t="s">
        <v>645</v>
      </c>
      <c r="B219" s="44" t="s">
        <v>646</v>
      </c>
      <c r="C219" s="7" t="s">
        <v>198</v>
      </c>
      <c r="D219" s="49">
        <v>0.21199999999999999</v>
      </c>
    </row>
    <row r="220" spans="1:4" ht="27" x14ac:dyDescent="0.3">
      <c r="A220" s="45" t="s">
        <v>647</v>
      </c>
      <c r="B220" s="44" t="s">
        <v>648</v>
      </c>
      <c r="C220" s="7" t="s">
        <v>371</v>
      </c>
      <c r="D220" s="49">
        <v>43.241</v>
      </c>
    </row>
    <row r="221" spans="1:4" x14ac:dyDescent="0.3">
      <c r="A221" s="45" t="s">
        <v>649</v>
      </c>
      <c r="B221" s="44" t="s">
        <v>650</v>
      </c>
      <c r="C221" s="7" t="s">
        <v>198</v>
      </c>
      <c r="D221" s="49">
        <v>2.4359999999999999</v>
      </c>
    </row>
    <row r="222" spans="1:4" x14ac:dyDescent="0.3">
      <c r="A222" s="45" t="s">
        <v>651</v>
      </c>
      <c r="B222" s="44" t="s">
        <v>652</v>
      </c>
      <c r="C222" s="7" t="s">
        <v>653</v>
      </c>
      <c r="D222" s="49">
        <v>0.82599999999999996</v>
      </c>
    </row>
    <row r="223" spans="1:4" ht="27" x14ac:dyDescent="0.3">
      <c r="A223" s="45" t="s">
        <v>654</v>
      </c>
      <c r="B223" s="44" t="s">
        <v>655</v>
      </c>
      <c r="C223" s="7" t="s">
        <v>656</v>
      </c>
      <c r="D223" s="49">
        <v>10.106</v>
      </c>
    </row>
    <row r="224" spans="1:4" ht="27" x14ac:dyDescent="0.3">
      <c r="A224" s="45" t="s">
        <v>657</v>
      </c>
      <c r="B224" s="44" t="s">
        <v>658</v>
      </c>
      <c r="C224" s="7" t="s">
        <v>659</v>
      </c>
      <c r="D224" s="49">
        <v>0.57499999999999996</v>
      </c>
    </row>
    <row r="225" spans="1:4" x14ac:dyDescent="0.3">
      <c r="A225" s="45" t="s">
        <v>660</v>
      </c>
      <c r="B225" s="44" t="s">
        <v>661</v>
      </c>
      <c r="C225" s="7" t="s">
        <v>198</v>
      </c>
      <c r="D225" s="49">
        <v>70.417000000000002</v>
      </c>
    </row>
    <row r="226" spans="1:4" x14ac:dyDescent="0.3">
      <c r="A226" s="45" t="s">
        <v>662</v>
      </c>
      <c r="B226" s="44" t="s">
        <v>663</v>
      </c>
      <c r="C226" s="7" t="s">
        <v>273</v>
      </c>
      <c r="D226" s="49">
        <v>32.944000000000003</v>
      </c>
    </row>
    <row r="227" spans="1:4" x14ac:dyDescent="0.3">
      <c r="A227" s="45" t="s">
        <v>664</v>
      </c>
      <c r="B227" s="44" t="s">
        <v>665</v>
      </c>
      <c r="C227" s="7" t="s">
        <v>311</v>
      </c>
      <c r="D227" s="49">
        <v>0.59799999999999998</v>
      </c>
    </row>
    <row r="228" spans="1:4" ht="27" x14ac:dyDescent="0.3">
      <c r="A228" s="45" t="s">
        <v>1569</v>
      </c>
      <c r="B228" s="44" t="s">
        <v>1570</v>
      </c>
      <c r="C228" s="7" t="s">
        <v>198</v>
      </c>
      <c r="D228" s="49">
        <v>2.758</v>
      </c>
    </row>
    <row r="229" spans="1:4" ht="27" x14ac:dyDescent="0.3">
      <c r="A229" s="46" t="s">
        <v>1571</v>
      </c>
      <c r="B229" s="44" t="s">
        <v>1572</v>
      </c>
      <c r="C229" s="16" t="s">
        <v>198</v>
      </c>
      <c r="D229" s="49">
        <v>2.6949999999999998</v>
      </c>
    </row>
    <row r="230" spans="1:4" ht="27" x14ac:dyDescent="0.3">
      <c r="A230" s="45" t="s">
        <v>668</v>
      </c>
      <c r="B230" s="44" t="s">
        <v>669</v>
      </c>
      <c r="C230" s="7" t="s">
        <v>670</v>
      </c>
      <c r="D230" s="49">
        <v>1244.336</v>
      </c>
    </row>
    <row r="231" spans="1:4" ht="27" x14ac:dyDescent="0.3">
      <c r="A231" s="45" t="s">
        <v>671</v>
      </c>
      <c r="B231" s="44" t="s">
        <v>672</v>
      </c>
      <c r="C231" s="7" t="s">
        <v>199</v>
      </c>
      <c r="D231" s="49">
        <v>0.13700000000000001</v>
      </c>
    </row>
    <row r="232" spans="1:4" ht="27" x14ac:dyDescent="0.3">
      <c r="A232" s="45" t="s">
        <v>673</v>
      </c>
      <c r="B232" s="44" t="s">
        <v>674</v>
      </c>
      <c r="C232" s="7" t="s">
        <v>405</v>
      </c>
      <c r="D232" s="49">
        <v>20.844000000000001</v>
      </c>
    </row>
    <row r="233" spans="1:4" x14ac:dyDescent="0.3">
      <c r="A233" s="45" t="s">
        <v>675</v>
      </c>
      <c r="B233" s="44" t="s">
        <v>676</v>
      </c>
      <c r="C233" s="7" t="s">
        <v>295</v>
      </c>
      <c r="D233" s="49">
        <v>0.39600000000000002</v>
      </c>
    </row>
    <row r="234" spans="1:4" ht="27" x14ac:dyDescent="0.3">
      <c r="A234" s="45" t="s">
        <v>677</v>
      </c>
      <c r="B234" s="44" t="s">
        <v>678</v>
      </c>
      <c r="C234" s="7" t="s">
        <v>458</v>
      </c>
      <c r="D234" s="49">
        <v>31.594999999999999</v>
      </c>
    </row>
    <row r="235" spans="1:4" x14ac:dyDescent="0.3">
      <c r="A235" s="45" t="s">
        <v>679</v>
      </c>
      <c r="B235" s="44" t="s">
        <v>680</v>
      </c>
      <c r="C235" s="7" t="s">
        <v>199</v>
      </c>
      <c r="D235" s="49">
        <v>0.02</v>
      </c>
    </row>
    <row r="236" spans="1:4" x14ac:dyDescent="0.3">
      <c r="A236" s="45" t="s">
        <v>681</v>
      </c>
      <c r="B236" s="44" t="s">
        <v>682</v>
      </c>
      <c r="C236" s="7" t="s">
        <v>683</v>
      </c>
      <c r="D236" s="49">
        <v>11.473000000000001</v>
      </c>
    </row>
    <row r="237" spans="1:4" x14ac:dyDescent="0.3">
      <c r="A237" s="45" t="s">
        <v>684</v>
      </c>
      <c r="B237" s="44" t="s">
        <v>685</v>
      </c>
      <c r="C237" s="7" t="s">
        <v>442</v>
      </c>
      <c r="D237" s="49">
        <v>6.4569999999999999</v>
      </c>
    </row>
    <row r="238" spans="1:4" x14ac:dyDescent="0.3">
      <c r="A238" s="45" t="s">
        <v>686</v>
      </c>
      <c r="B238" s="44" t="s">
        <v>687</v>
      </c>
      <c r="C238" s="7" t="s">
        <v>688</v>
      </c>
      <c r="D238" s="49">
        <v>0.68899999999999995</v>
      </c>
    </row>
    <row r="239" spans="1:4" x14ac:dyDescent="0.3">
      <c r="A239" s="45" t="s">
        <v>689</v>
      </c>
      <c r="B239" s="44" t="s">
        <v>690</v>
      </c>
      <c r="C239" s="7" t="s">
        <v>522</v>
      </c>
      <c r="D239" s="49">
        <v>1.9410000000000001</v>
      </c>
    </row>
    <row r="240" spans="1:4" ht="27" x14ac:dyDescent="0.3">
      <c r="A240" s="45" t="s">
        <v>691</v>
      </c>
      <c r="B240" s="44" t="s">
        <v>692</v>
      </c>
      <c r="C240" s="7" t="s">
        <v>257</v>
      </c>
      <c r="D240" s="49">
        <v>7.4080000000000004</v>
      </c>
    </row>
    <row r="241" spans="1:4" ht="27" x14ac:dyDescent="0.3">
      <c r="A241" s="45" t="s">
        <v>693</v>
      </c>
      <c r="B241" s="44" t="s">
        <v>694</v>
      </c>
      <c r="C241" s="10" t="s">
        <v>198</v>
      </c>
      <c r="D241" s="49">
        <v>29.045999999999999</v>
      </c>
    </row>
    <row r="242" spans="1:4" x14ac:dyDescent="0.3">
      <c r="A242" s="45" t="s">
        <v>695</v>
      </c>
      <c r="B242" s="44" t="s">
        <v>696</v>
      </c>
      <c r="C242" s="7" t="s">
        <v>257</v>
      </c>
      <c r="D242" s="49">
        <v>0.79</v>
      </c>
    </row>
    <row r="243" spans="1:4" ht="27" x14ac:dyDescent="0.3">
      <c r="A243" s="45" t="s">
        <v>697</v>
      </c>
      <c r="B243" s="44" t="s">
        <v>698</v>
      </c>
      <c r="C243" s="7" t="s">
        <v>699</v>
      </c>
      <c r="D243" s="49">
        <v>19.414000000000001</v>
      </c>
    </row>
    <row r="244" spans="1:4" ht="27" x14ac:dyDescent="0.3">
      <c r="A244" s="45" t="s">
        <v>700</v>
      </c>
      <c r="B244" s="44" t="s">
        <v>701</v>
      </c>
      <c r="C244" s="7" t="s">
        <v>198</v>
      </c>
      <c r="D244" s="49">
        <v>1.0509999999999999</v>
      </c>
    </row>
    <row r="245" spans="1:4" ht="27" x14ac:dyDescent="0.3">
      <c r="A245" s="45" t="s">
        <v>702</v>
      </c>
      <c r="B245" s="44" t="s">
        <v>703</v>
      </c>
      <c r="C245" s="7" t="s">
        <v>198</v>
      </c>
      <c r="D245" s="49">
        <v>0.112</v>
      </c>
    </row>
    <row r="246" spans="1:4" ht="27" x14ac:dyDescent="0.3">
      <c r="A246" s="46" t="s">
        <v>704</v>
      </c>
      <c r="B246" s="44" t="s">
        <v>705</v>
      </c>
      <c r="C246" s="16" t="s">
        <v>200</v>
      </c>
      <c r="D246" s="49">
        <v>1.4330000000000001</v>
      </c>
    </row>
    <row r="247" spans="1:4" ht="27" x14ac:dyDescent="0.3">
      <c r="A247" s="45" t="s">
        <v>706</v>
      </c>
      <c r="B247" s="44" t="s">
        <v>707</v>
      </c>
      <c r="C247" s="7" t="s">
        <v>199</v>
      </c>
      <c r="D247" s="49">
        <v>3.722</v>
      </c>
    </row>
    <row r="248" spans="1:4" ht="27" x14ac:dyDescent="0.3">
      <c r="A248" s="46" t="s">
        <v>708</v>
      </c>
      <c r="B248" s="44" t="s">
        <v>709</v>
      </c>
      <c r="C248" s="10" t="s">
        <v>199</v>
      </c>
      <c r="D248" s="49">
        <v>10.814</v>
      </c>
    </row>
    <row r="249" spans="1:4" x14ac:dyDescent="0.3">
      <c r="A249" s="45" t="s">
        <v>710</v>
      </c>
      <c r="B249" s="44" t="s">
        <v>711</v>
      </c>
      <c r="C249" s="7" t="s">
        <v>452</v>
      </c>
      <c r="D249" s="49">
        <v>8.3030000000000008</v>
      </c>
    </row>
    <row r="250" spans="1:4" ht="27" x14ac:dyDescent="0.3">
      <c r="A250" s="45" t="s">
        <v>712</v>
      </c>
      <c r="B250" s="44" t="s">
        <v>713</v>
      </c>
      <c r="C250" s="7" t="s">
        <v>257</v>
      </c>
      <c r="D250" s="49">
        <v>8.7390000000000008</v>
      </c>
    </row>
    <row r="251" spans="1:4" ht="27" x14ac:dyDescent="0.3">
      <c r="A251" s="45" t="s">
        <v>714</v>
      </c>
      <c r="B251" s="44" t="s">
        <v>715</v>
      </c>
      <c r="C251" s="7" t="s">
        <v>199</v>
      </c>
      <c r="D251" s="49">
        <v>2.3650000000000002</v>
      </c>
    </row>
    <row r="252" spans="1:4" ht="27" x14ac:dyDescent="0.3">
      <c r="A252" s="45" t="s">
        <v>716</v>
      </c>
      <c r="B252" s="44" t="s">
        <v>717</v>
      </c>
      <c r="C252" s="7" t="s">
        <v>198</v>
      </c>
      <c r="D252" s="49">
        <v>14.22</v>
      </c>
    </row>
    <row r="253" spans="1:4" ht="27" x14ac:dyDescent="0.3">
      <c r="A253" s="45" t="s">
        <v>718</v>
      </c>
      <c r="B253" s="44" t="s">
        <v>719</v>
      </c>
      <c r="C253" s="7" t="s">
        <v>198</v>
      </c>
      <c r="D253" s="49">
        <v>3.2370000000000001</v>
      </c>
    </row>
    <row r="254" spans="1:4" x14ac:dyDescent="0.3">
      <c r="A254" s="45" t="s">
        <v>720</v>
      </c>
      <c r="B254" s="44" t="s">
        <v>721</v>
      </c>
      <c r="C254" s="7" t="s">
        <v>198</v>
      </c>
      <c r="D254" s="49">
        <v>21.609000000000002</v>
      </c>
    </row>
    <row r="255" spans="1:4" ht="27" x14ac:dyDescent="0.3">
      <c r="A255" s="45" t="s">
        <v>722</v>
      </c>
      <c r="B255" s="44" t="s">
        <v>723</v>
      </c>
      <c r="C255" s="7" t="s">
        <v>198</v>
      </c>
      <c r="D255" s="49">
        <v>57.4</v>
      </c>
    </row>
    <row r="256" spans="1:4" ht="27" x14ac:dyDescent="0.3">
      <c r="A256" s="45" t="s">
        <v>724</v>
      </c>
      <c r="B256" s="44" t="s">
        <v>725</v>
      </c>
      <c r="C256" s="7" t="s">
        <v>198</v>
      </c>
      <c r="D256" s="49">
        <v>207.21799999999999</v>
      </c>
    </row>
    <row r="257" spans="1:4" ht="27" x14ac:dyDescent="0.3">
      <c r="A257" s="45" t="s">
        <v>726</v>
      </c>
      <c r="B257" s="44" t="s">
        <v>727</v>
      </c>
      <c r="C257" s="7" t="s">
        <v>728</v>
      </c>
      <c r="D257" s="49">
        <v>0.82899999999999996</v>
      </c>
    </row>
    <row r="258" spans="1:4" x14ac:dyDescent="0.3">
      <c r="A258" s="45" t="s">
        <v>729</v>
      </c>
      <c r="B258" s="44" t="s">
        <v>730</v>
      </c>
      <c r="C258" s="7" t="s">
        <v>200</v>
      </c>
      <c r="D258" s="49">
        <v>37.692999999999998</v>
      </c>
    </row>
    <row r="259" spans="1:4" ht="27" x14ac:dyDescent="0.3">
      <c r="A259" s="45" t="s">
        <v>731</v>
      </c>
      <c r="B259" s="44" t="s">
        <v>732</v>
      </c>
      <c r="C259" s="7" t="s">
        <v>198</v>
      </c>
      <c r="D259" s="49">
        <v>2.9169999999999998</v>
      </c>
    </row>
    <row r="260" spans="1:4" ht="27" x14ac:dyDescent="0.3">
      <c r="A260" s="45" t="s">
        <v>733</v>
      </c>
      <c r="B260" s="44" t="s">
        <v>734</v>
      </c>
      <c r="C260" s="7" t="s">
        <v>735</v>
      </c>
      <c r="D260" s="49">
        <v>6.5140000000000002</v>
      </c>
    </row>
    <row r="261" spans="1:4" ht="27" x14ac:dyDescent="0.3">
      <c r="A261" s="45" t="s">
        <v>736</v>
      </c>
      <c r="B261" s="44" t="s">
        <v>737</v>
      </c>
      <c r="C261" s="7" t="s">
        <v>738</v>
      </c>
      <c r="D261" s="49">
        <v>19.247</v>
      </c>
    </row>
    <row r="262" spans="1:4" ht="27" x14ac:dyDescent="0.3">
      <c r="A262" s="45" t="s">
        <v>739</v>
      </c>
      <c r="B262" s="44" t="s">
        <v>740</v>
      </c>
      <c r="C262" s="7" t="s">
        <v>198</v>
      </c>
      <c r="D262" s="49">
        <v>9.6000000000000002E-2</v>
      </c>
    </row>
    <row r="263" spans="1:4" x14ac:dyDescent="0.3">
      <c r="A263" s="46" t="s">
        <v>741</v>
      </c>
      <c r="B263" s="44" t="s">
        <v>742</v>
      </c>
      <c r="C263" s="10" t="s">
        <v>199</v>
      </c>
      <c r="D263" s="49">
        <v>23.963999999999999</v>
      </c>
    </row>
    <row r="264" spans="1:4" x14ac:dyDescent="0.3">
      <c r="A264" s="45" t="s">
        <v>743</v>
      </c>
      <c r="B264" s="44" t="s">
        <v>744</v>
      </c>
      <c r="C264" s="7" t="s">
        <v>325</v>
      </c>
      <c r="D264" s="49">
        <v>22.802</v>
      </c>
    </row>
    <row r="265" spans="1:4" ht="27" x14ac:dyDescent="0.3">
      <c r="A265" s="45" t="s">
        <v>745</v>
      </c>
      <c r="B265" s="44" t="s">
        <v>746</v>
      </c>
      <c r="C265" s="7" t="s">
        <v>198</v>
      </c>
      <c r="D265" s="49">
        <v>12.03</v>
      </c>
    </row>
    <row r="266" spans="1:4" ht="27" x14ac:dyDescent="0.3">
      <c r="A266" s="45" t="s">
        <v>747</v>
      </c>
      <c r="B266" s="44" t="s">
        <v>748</v>
      </c>
      <c r="C266" s="7" t="s">
        <v>749</v>
      </c>
      <c r="D266" s="49">
        <v>12.634</v>
      </c>
    </row>
    <row r="267" spans="1:4" x14ac:dyDescent="0.3">
      <c r="A267" s="45" t="s">
        <v>750</v>
      </c>
      <c r="B267" s="44" t="s">
        <v>751</v>
      </c>
      <c r="C267" s="7" t="s">
        <v>728</v>
      </c>
      <c r="D267" s="49">
        <v>3.7559999999999998</v>
      </c>
    </row>
    <row r="268" spans="1:4" x14ac:dyDescent="0.3">
      <c r="A268" s="45" t="s">
        <v>752</v>
      </c>
      <c r="B268" s="44" t="s">
        <v>753</v>
      </c>
      <c r="C268" s="7" t="s">
        <v>452</v>
      </c>
      <c r="D268" s="49">
        <v>0.72599999999999998</v>
      </c>
    </row>
    <row r="269" spans="1:4" ht="27" x14ac:dyDescent="0.3">
      <c r="A269" s="45" t="s">
        <v>754</v>
      </c>
      <c r="B269" s="44" t="s">
        <v>755</v>
      </c>
      <c r="C269" s="7" t="s">
        <v>756</v>
      </c>
      <c r="D269" s="49">
        <v>720.91300000000001</v>
      </c>
    </row>
    <row r="270" spans="1:4" ht="27" x14ac:dyDescent="0.3">
      <c r="A270" s="45" t="s">
        <v>760</v>
      </c>
      <c r="B270" s="44" t="s">
        <v>761</v>
      </c>
      <c r="C270" s="7" t="s">
        <v>762</v>
      </c>
      <c r="D270" s="49">
        <v>3807.2979999999998</v>
      </c>
    </row>
    <row r="271" spans="1:4" x14ac:dyDescent="0.3">
      <c r="A271" s="45" t="s">
        <v>763</v>
      </c>
      <c r="B271" s="44" t="s">
        <v>764</v>
      </c>
      <c r="C271" s="7" t="s">
        <v>198</v>
      </c>
      <c r="D271" s="49">
        <v>2725.6010000000001</v>
      </c>
    </row>
    <row r="272" spans="1:4" ht="27" x14ac:dyDescent="0.3">
      <c r="A272" s="45" t="s">
        <v>765</v>
      </c>
      <c r="B272" s="44" t="s">
        <v>766</v>
      </c>
      <c r="C272" s="7" t="s">
        <v>767</v>
      </c>
      <c r="D272" s="49">
        <v>30.289000000000001</v>
      </c>
    </row>
    <row r="273" spans="1:4" ht="27" x14ac:dyDescent="0.3">
      <c r="A273" s="45" t="s">
        <v>768</v>
      </c>
      <c r="B273" s="44" t="s">
        <v>769</v>
      </c>
      <c r="C273" s="7" t="s">
        <v>209</v>
      </c>
      <c r="D273" s="49">
        <v>35.515999999999998</v>
      </c>
    </row>
    <row r="274" spans="1:4" ht="27" x14ac:dyDescent="0.3">
      <c r="A274" s="45" t="s">
        <v>770</v>
      </c>
      <c r="B274" s="44" t="s">
        <v>771</v>
      </c>
      <c r="C274" s="7" t="s">
        <v>767</v>
      </c>
      <c r="D274" s="49">
        <v>1.107</v>
      </c>
    </row>
    <row r="275" spans="1:4" ht="27" x14ac:dyDescent="0.3">
      <c r="A275" s="45" t="s">
        <v>772</v>
      </c>
      <c r="B275" s="44" t="s">
        <v>773</v>
      </c>
      <c r="C275" s="7" t="s">
        <v>774</v>
      </c>
      <c r="D275" s="49">
        <v>1.6759999999999999</v>
      </c>
    </row>
    <row r="276" spans="1:4" ht="27" x14ac:dyDescent="0.3">
      <c r="A276" s="45" t="s">
        <v>775</v>
      </c>
      <c r="B276" s="44" t="s">
        <v>776</v>
      </c>
      <c r="C276" s="7" t="s">
        <v>683</v>
      </c>
      <c r="D276" s="49">
        <v>107.336</v>
      </c>
    </row>
    <row r="277" spans="1:4" ht="27" x14ac:dyDescent="0.3">
      <c r="A277" s="45" t="s">
        <v>777</v>
      </c>
      <c r="B277" s="44" t="s">
        <v>778</v>
      </c>
      <c r="C277" s="7" t="s">
        <v>209</v>
      </c>
      <c r="D277" s="49">
        <v>2.2280000000000002</v>
      </c>
    </row>
    <row r="278" spans="1:4" ht="27" x14ac:dyDescent="0.3">
      <c r="A278" s="45" t="s">
        <v>779</v>
      </c>
      <c r="B278" s="44" t="s">
        <v>780</v>
      </c>
      <c r="C278" s="7" t="s">
        <v>781</v>
      </c>
      <c r="D278" s="49">
        <v>42.588999999999999</v>
      </c>
    </row>
    <row r="279" spans="1:4" x14ac:dyDescent="0.3">
      <c r="A279" s="46" t="s">
        <v>782</v>
      </c>
      <c r="B279" s="44" t="s">
        <v>783</v>
      </c>
      <c r="C279" s="7" t="s">
        <v>198</v>
      </c>
      <c r="D279" s="49">
        <v>364.24</v>
      </c>
    </row>
    <row r="280" spans="1:4" ht="27" x14ac:dyDescent="0.3">
      <c r="A280" s="45" t="s">
        <v>784</v>
      </c>
      <c r="B280" s="44" t="s">
        <v>785</v>
      </c>
      <c r="C280" s="7" t="s">
        <v>452</v>
      </c>
      <c r="D280" s="49">
        <v>11.057</v>
      </c>
    </row>
    <row r="281" spans="1:4" ht="27" x14ac:dyDescent="0.3">
      <c r="A281" s="45" t="s">
        <v>786</v>
      </c>
      <c r="B281" s="44" t="s">
        <v>787</v>
      </c>
      <c r="C281" s="7" t="s">
        <v>209</v>
      </c>
      <c r="D281" s="49">
        <v>1.6919999999999999</v>
      </c>
    </row>
    <row r="282" spans="1:4" ht="27" x14ac:dyDescent="0.3">
      <c r="A282" s="45" t="s">
        <v>788</v>
      </c>
      <c r="B282" s="44" t="s">
        <v>789</v>
      </c>
      <c r="C282" s="7" t="s">
        <v>553</v>
      </c>
      <c r="D282" s="49">
        <v>11.45</v>
      </c>
    </row>
    <row r="283" spans="1:4" ht="27" x14ac:dyDescent="0.3">
      <c r="A283" s="45" t="s">
        <v>790</v>
      </c>
      <c r="B283" s="44" t="s">
        <v>791</v>
      </c>
      <c r="C283" s="7" t="s">
        <v>405</v>
      </c>
      <c r="D283" s="49">
        <v>90.522999999999996</v>
      </c>
    </row>
    <row r="284" spans="1:4" ht="27" x14ac:dyDescent="0.3">
      <c r="A284" s="45" t="s">
        <v>792</v>
      </c>
      <c r="B284" s="44" t="s">
        <v>793</v>
      </c>
      <c r="C284" s="7" t="s">
        <v>295</v>
      </c>
      <c r="D284" s="49">
        <v>1.1279999999999999</v>
      </c>
    </row>
    <row r="285" spans="1:4" x14ac:dyDescent="0.3">
      <c r="A285" s="45" t="s">
        <v>794</v>
      </c>
      <c r="B285" s="44" t="s">
        <v>795</v>
      </c>
      <c r="C285" s="7" t="s">
        <v>199</v>
      </c>
      <c r="D285" s="49">
        <v>0.108</v>
      </c>
    </row>
    <row r="286" spans="1:4" ht="27" x14ac:dyDescent="0.3">
      <c r="A286" s="45" t="s">
        <v>796</v>
      </c>
      <c r="B286" s="44" t="s">
        <v>797</v>
      </c>
      <c r="C286" s="7" t="s">
        <v>199</v>
      </c>
      <c r="D286" s="49">
        <v>0.878</v>
      </c>
    </row>
    <row r="287" spans="1:4" ht="27" x14ac:dyDescent="0.3">
      <c r="A287" s="45" t="s">
        <v>798</v>
      </c>
      <c r="B287" s="44" t="s">
        <v>799</v>
      </c>
      <c r="C287" s="7" t="s">
        <v>371</v>
      </c>
      <c r="D287" s="49">
        <v>15.064</v>
      </c>
    </row>
    <row r="288" spans="1:4" ht="27" x14ac:dyDescent="0.3">
      <c r="A288" s="45" t="s">
        <v>800</v>
      </c>
      <c r="B288" s="44" t="s">
        <v>801</v>
      </c>
      <c r="C288" s="7" t="s">
        <v>200</v>
      </c>
      <c r="D288" s="49">
        <v>374.74099999999999</v>
      </c>
    </row>
    <row r="289" spans="1:4" ht="27" x14ac:dyDescent="0.3">
      <c r="A289" s="45" t="s">
        <v>802</v>
      </c>
      <c r="B289" s="44" t="s">
        <v>803</v>
      </c>
      <c r="C289" s="7" t="s">
        <v>199</v>
      </c>
      <c r="D289" s="49">
        <v>1.232</v>
      </c>
    </row>
    <row r="290" spans="1:4" ht="27" x14ac:dyDescent="0.3">
      <c r="A290" s="45" t="s">
        <v>804</v>
      </c>
      <c r="B290" s="44" t="s">
        <v>805</v>
      </c>
      <c r="C290" s="7" t="s">
        <v>284</v>
      </c>
      <c r="D290" s="49">
        <v>457.87700000000001</v>
      </c>
    </row>
    <row r="291" spans="1:4" ht="27" x14ac:dyDescent="0.3">
      <c r="A291" s="45" t="s">
        <v>806</v>
      </c>
      <c r="B291" s="44" t="s">
        <v>807</v>
      </c>
      <c r="C291" s="7" t="s">
        <v>808</v>
      </c>
      <c r="D291" s="49">
        <v>333.37099999999998</v>
      </c>
    </row>
    <row r="292" spans="1:4" ht="27" x14ac:dyDescent="0.3">
      <c r="A292" s="45" t="s">
        <v>809</v>
      </c>
      <c r="B292" s="44" t="s">
        <v>810</v>
      </c>
      <c r="C292" s="7" t="s">
        <v>553</v>
      </c>
      <c r="D292" s="49">
        <v>3.9060000000000001</v>
      </c>
    </row>
    <row r="293" spans="1:4" x14ac:dyDescent="0.3">
      <c r="A293" s="45" t="s">
        <v>811</v>
      </c>
      <c r="B293" s="44" t="s">
        <v>812</v>
      </c>
      <c r="C293" s="7" t="s">
        <v>396</v>
      </c>
      <c r="D293" s="49">
        <v>301.49099999999999</v>
      </c>
    </row>
    <row r="294" spans="1:4" ht="27" x14ac:dyDescent="0.3">
      <c r="A294" s="45" t="s">
        <v>813</v>
      </c>
      <c r="B294" s="44" t="s">
        <v>814</v>
      </c>
      <c r="C294" s="7" t="s">
        <v>273</v>
      </c>
      <c r="D294" s="49">
        <v>59.174999999999997</v>
      </c>
    </row>
    <row r="295" spans="1:4" ht="27" x14ac:dyDescent="0.3">
      <c r="A295" s="45" t="s">
        <v>815</v>
      </c>
      <c r="B295" s="44" t="s">
        <v>816</v>
      </c>
      <c r="C295" s="10" t="s">
        <v>198</v>
      </c>
      <c r="D295" s="49">
        <v>9.782</v>
      </c>
    </row>
    <row r="296" spans="1:4" ht="27" x14ac:dyDescent="0.3">
      <c r="A296" s="45" t="s">
        <v>817</v>
      </c>
      <c r="B296" s="44" t="s">
        <v>818</v>
      </c>
      <c r="C296" s="7" t="s">
        <v>819</v>
      </c>
      <c r="D296" s="49">
        <v>25.927</v>
      </c>
    </row>
    <row r="297" spans="1:4" ht="27" x14ac:dyDescent="0.3">
      <c r="A297" s="45" t="s">
        <v>820</v>
      </c>
      <c r="B297" s="44" t="s">
        <v>821</v>
      </c>
      <c r="C297" s="7" t="s">
        <v>822</v>
      </c>
      <c r="D297" s="49">
        <v>84.902000000000001</v>
      </c>
    </row>
    <row r="298" spans="1:4" x14ac:dyDescent="0.3">
      <c r="A298" s="45" t="s">
        <v>823</v>
      </c>
      <c r="B298" s="44" t="s">
        <v>824</v>
      </c>
      <c r="C298" s="7" t="s">
        <v>825</v>
      </c>
      <c r="D298" s="49">
        <v>4.7510000000000003</v>
      </c>
    </row>
    <row r="299" spans="1:4" ht="27" x14ac:dyDescent="0.3">
      <c r="A299" s="45" t="s">
        <v>826</v>
      </c>
      <c r="B299" s="44" t="s">
        <v>827</v>
      </c>
      <c r="C299" s="7" t="s">
        <v>825</v>
      </c>
      <c r="D299" s="49">
        <v>29.716000000000001</v>
      </c>
    </row>
    <row r="300" spans="1:4" ht="27" x14ac:dyDescent="0.3">
      <c r="A300" s="45" t="s">
        <v>828</v>
      </c>
      <c r="B300" s="44" t="s">
        <v>1573</v>
      </c>
      <c r="C300" s="7" t="s">
        <v>396</v>
      </c>
      <c r="D300" s="49">
        <v>10.435</v>
      </c>
    </row>
    <row r="301" spans="1:4" ht="27" x14ac:dyDescent="0.3">
      <c r="A301" s="45" t="s">
        <v>830</v>
      </c>
      <c r="B301" s="44" t="s">
        <v>831</v>
      </c>
      <c r="C301" s="7" t="s">
        <v>198</v>
      </c>
      <c r="D301" s="49">
        <v>7.9000000000000001E-2</v>
      </c>
    </row>
    <row r="302" spans="1:4" x14ac:dyDescent="0.3">
      <c r="A302" s="47" t="s">
        <v>832</v>
      </c>
      <c r="B302" s="44" t="s">
        <v>833</v>
      </c>
      <c r="C302" s="7" t="s">
        <v>834</v>
      </c>
      <c r="D302" s="49">
        <v>77.638999999999996</v>
      </c>
    </row>
    <row r="303" spans="1:4" x14ac:dyDescent="0.3">
      <c r="A303" s="45" t="s">
        <v>1574</v>
      </c>
      <c r="B303" s="44" t="s">
        <v>1575</v>
      </c>
      <c r="C303" s="7" t="s">
        <v>1576</v>
      </c>
      <c r="D303" s="49">
        <v>10.188000000000001</v>
      </c>
    </row>
    <row r="304" spans="1:4" ht="27" x14ac:dyDescent="0.3">
      <c r="A304" s="45" t="s">
        <v>835</v>
      </c>
      <c r="B304" s="44" t="s">
        <v>836</v>
      </c>
      <c r="C304" s="7" t="s">
        <v>381</v>
      </c>
      <c r="D304" s="49">
        <v>6.2759999999999998</v>
      </c>
    </row>
    <row r="305" spans="1:4" x14ac:dyDescent="0.3">
      <c r="A305" s="45" t="s">
        <v>837</v>
      </c>
      <c r="B305" s="44" t="s">
        <v>838</v>
      </c>
      <c r="C305" s="7" t="s">
        <v>839</v>
      </c>
      <c r="D305" s="49">
        <v>115.295</v>
      </c>
    </row>
    <row r="306" spans="1:4" ht="27" x14ac:dyDescent="0.3">
      <c r="A306" s="45" t="s">
        <v>842</v>
      </c>
      <c r="B306" s="44" t="s">
        <v>843</v>
      </c>
      <c r="C306" s="7" t="s">
        <v>325</v>
      </c>
      <c r="D306" s="49">
        <v>47.957000000000001</v>
      </c>
    </row>
    <row r="307" spans="1:4" x14ac:dyDescent="0.3">
      <c r="A307" s="45" t="s">
        <v>844</v>
      </c>
      <c r="B307" s="44" t="s">
        <v>845</v>
      </c>
      <c r="C307" s="7" t="s">
        <v>199</v>
      </c>
      <c r="D307" s="49">
        <v>112.931</v>
      </c>
    </row>
    <row r="308" spans="1:4" ht="27" x14ac:dyDescent="0.3">
      <c r="A308" s="45" t="s">
        <v>846</v>
      </c>
      <c r="B308" s="44" t="s">
        <v>847</v>
      </c>
      <c r="C308" s="7" t="s">
        <v>848</v>
      </c>
      <c r="D308" s="49">
        <v>1.94</v>
      </c>
    </row>
    <row r="309" spans="1:4" ht="27" x14ac:dyDescent="0.3">
      <c r="A309" s="45" t="s">
        <v>849</v>
      </c>
      <c r="B309" s="44" t="s">
        <v>850</v>
      </c>
      <c r="C309" s="7" t="s">
        <v>491</v>
      </c>
      <c r="D309" s="49">
        <v>4.516</v>
      </c>
    </row>
    <row r="310" spans="1:4" ht="27" x14ac:dyDescent="0.3">
      <c r="A310" s="45" t="s">
        <v>851</v>
      </c>
      <c r="B310" s="44" t="s">
        <v>850</v>
      </c>
      <c r="C310" s="7" t="s">
        <v>852</v>
      </c>
      <c r="D310" s="49">
        <v>6.7160000000000002</v>
      </c>
    </row>
    <row r="311" spans="1:4" ht="27" x14ac:dyDescent="0.3">
      <c r="A311" s="45" t="s">
        <v>853</v>
      </c>
      <c r="B311" s="44" t="s">
        <v>854</v>
      </c>
      <c r="C311" s="7" t="s">
        <v>198</v>
      </c>
      <c r="D311" s="49">
        <v>87.885000000000005</v>
      </c>
    </row>
    <row r="312" spans="1:4" ht="27" x14ac:dyDescent="0.3">
      <c r="A312" s="45" t="s">
        <v>855</v>
      </c>
      <c r="B312" s="44" t="s">
        <v>856</v>
      </c>
      <c r="C312" s="7" t="s">
        <v>405</v>
      </c>
      <c r="D312" s="49">
        <v>38.607999999999997</v>
      </c>
    </row>
    <row r="313" spans="1:4" ht="27" x14ac:dyDescent="0.3">
      <c r="A313" s="45" t="s">
        <v>857</v>
      </c>
      <c r="B313" s="44" t="s">
        <v>858</v>
      </c>
      <c r="C313" s="7" t="s">
        <v>273</v>
      </c>
      <c r="D313" s="49">
        <v>0.90600000000000003</v>
      </c>
    </row>
    <row r="314" spans="1:4" ht="27" x14ac:dyDescent="0.3">
      <c r="A314" s="46" t="s">
        <v>859</v>
      </c>
      <c r="B314" s="44" t="s">
        <v>860</v>
      </c>
      <c r="C314" s="10" t="s">
        <v>371</v>
      </c>
      <c r="D314" s="49">
        <v>40.603000000000002</v>
      </c>
    </row>
    <row r="315" spans="1:4" ht="27" x14ac:dyDescent="0.3">
      <c r="A315" s="46" t="s">
        <v>863</v>
      </c>
      <c r="B315" s="44" t="s">
        <v>864</v>
      </c>
      <c r="C315" s="10" t="s">
        <v>198</v>
      </c>
      <c r="D315" s="49">
        <v>1.5920000000000001</v>
      </c>
    </row>
    <row r="316" spans="1:4" x14ac:dyDescent="0.3">
      <c r="A316" s="45" t="s">
        <v>865</v>
      </c>
      <c r="B316" s="44" t="s">
        <v>866</v>
      </c>
      <c r="C316" s="7" t="s">
        <v>199</v>
      </c>
      <c r="D316" s="49">
        <v>5.5080285333333334</v>
      </c>
    </row>
    <row r="317" spans="1:4" ht="27" x14ac:dyDescent="0.3">
      <c r="A317" s="45" t="s">
        <v>867</v>
      </c>
      <c r="B317" s="44" t="s">
        <v>868</v>
      </c>
      <c r="C317" s="7" t="s">
        <v>198</v>
      </c>
      <c r="D317" s="49">
        <v>129.05799999999999</v>
      </c>
    </row>
    <row r="318" spans="1:4" x14ac:dyDescent="0.3">
      <c r="A318" s="45" t="s">
        <v>869</v>
      </c>
      <c r="B318" s="44" t="s">
        <v>870</v>
      </c>
      <c r="C318" s="7" t="s">
        <v>198</v>
      </c>
      <c r="D318" s="49">
        <v>1.32</v>
      </c>
    </row>
    <row r="319" spans="1:4" ht="27" x14ac:dyDescent="0.3">
      <c r="A319" s="45" t="s">
        <v>1577</v>
      </c>
      <c r="B319" s="44" t="s">
        <v>1578</v>
      </c>
      <c r="C319" s="7" t="s">
        <v>198</v>
      </c>
      <c r="D319" s="49">
        <v>9.0470000000000006</v>
      </c>
    </row>
    <row r="320" spans="1:4" ht="27" x14ac:dyDescent="0.3">
      <c r="A320" s="45" t="s">
        <v>871</v>
      </c>
      <c r="B320" s="44" t="s">
        <v>872</v>
      </c>
      <c r="C320" s="7" t="s">
        <v>198</v>
      </c>
      <c r="D320" s="49">
        <v>0.05</v>
      </c>
    </row>
    <row r="321" spans="1:4" ht="27" x14ac:dyDescent="0.3">
      <c r="A321" s="45" t="s">
        <v>873</v>
      </c>
      <c r="B321" s="44" t="s">
        <v>874</v>
      </c>
      <c r="C321" s="10" t="s">
        <v>198</v>
      </c>
      <c r="D321" s="49">
        <v>1.4910000000000001</v>
      </c>
    </row>
    <row r="322" spans="1:4" ht="27" x14ac:dyDescent="0.3">
      <c r="A322" s="45" t="s">
        <v>875</v>
      </c>
      <c r="B322" s="44" t="s">
        <v>876</v>
      </c>
      <c r="C322" s="7" t="s">
        <v>209</v>
      </c>
      <c r="D322" s="49">
        <v>33.292999999999999</v>
      </c>
    </row>
    <row r="323" spans="1:4" x14ac:dyDescent="0.3">
      <c r="A323" s="45" t="s">
        <v>877</v>
      </c>
      <c r="B323" s="44" t="s">
        <v>878</v>
      </c>
      <c r="C323" s="7" t="s">
        <v>879</v>
      </c>
      <c r="D323" s="49">
        <v>1759.9770000000001</v>
      </c>
    </row>
    <row r="324" spans="1:4" x14ac:dyDescent="0.3">
      <c r="A324" s="45" t="s">
        <v>880</v>
      </c>
      <c r="B324" s="44" t="s">
        <v>881</v>
      </c>
      <c r="C324" s="7" t="s">
        <v>198</v>
      </c>
      <c r="D324" s="49">
        <v>1.4450000000000001</v>
      </c>
    </row>
    <row r="325" spans="1:4" ht="27" x14ac:dyDescent="0.3">
      <c r="A325" s="45" t="s">
        <v>882</v>
      </c>
      <c r="B325" s="44" t="s">
        <v>883</v>
      </c>
      <c r="C325" s="7" t="s">
        <v>198</v>
      </c>
      <c r="D325" s="49">
        <v>137.05799999999999</v>
      </c>
    </row>
    <row r="326" spans="1:4" ht="27" x14ac:dyDescent="0.3">
      <c r="A326" s="45" t="s">
        <v>884</v>
      </c>
      <c r="B326" s="44" t="s">
        <v>885</v>
      </c>
      <c r="C326" s="7" t="s">
        <v>442</v>
      </c>
      <c r="D326" s="49">
        <v>36.819000000000003</v>
      </c>
    </row>
    <row r="327" spans="1:4" ht="27" x14ac:dyDescent="0.3">
      <c r="A327" s="45" t="s">
        <v>886</v>
      </c>
      <c r="B327" s="44" t="s">
        <v>887</v>
      </c>
      <c r="C327" s="7" t="s">
        <v>494</v>
      </c>
      <c r="D327" s="49">
        <v>3.452</v>
      </c>
    </row>
    <row r="328" spans="1:4" x14ac:dyDescent="0.3">
      <c r="A328" s="45" t="s">
        <v>888</v>
      </c>
      <c r="B328" s="44" t="s">
        <v>889</v>
      </c>
      <c r="C328" s="7" t="s">
        <v>198</v>
      </c>
      <c r="D328" s="49">
        <v>5.2969999999999997</v>
      </c>
    </row>
    <row r="329" spans="1:4" x14ac:dyDescent="0.3">
      <c r="A329" s="45" t="s">
        <v>890</v>
      </c>
      <c r="B329" s="44" t="s">
        <v>891</v>
      </c>
      <c r="C329" s="7" t="s">
        <v>198</v>
      </c>
      <c r="D329" s="49">
        <v>61.408000000000001</v>
      </c>
    </row>
    <row r="330" spans="1:4" ht="27" x14ac:dyDescent="0.3">
      <c r="A330" s="45" t="s">
        <v>892</v>
      </c>
      <c r="B330" s="44" t="s">
        <v>893</v>
      </c>
      <c r="C330" s="7" t="s">
        <v>198</v>
      </c>
      <c r="D330" s="49">
        <v>3.8340000000000001</v>
      </c>
    </row>
    <row r="331" spans="1:4" ht="27" x14ac:dyDescent="0.3">
      <c r="A331" s="45" t="s">
        <v>894</v>
      </c>
      <c r="B331" s="44" t="s">
        <v>895</v>
      </c>
      <c r="C331" s="7" t="s">
        <v>199</v>
      </c>
      <c r="D331" s="49">
        <v>1.484</v>
      </c>
    </row>
    <row r="332" spans="1:4" ht="27" x14ac:dyDescent="0.3">
      <c r="A332" s="45" t="s">
        <v>896</v>
      </c>
      <c r="B332" s="44" t="s">
        <v>897</v>
      </c>
      <c r="C332" s="10" t="s">
        <v>198</v>
      </c>
      <c r="D332" s="49">
        <v>18.312999999999999</v>
      </c>
    </row>
    <row r="333" spans="1:4" x14ac:dyDescent="0.3">
      <c r="A333" s="45" t="s">
        <v>898</v>
      </c>
      <c r="B333" s="44" t="s">
        <v>899</v>
      </c>
      <c r="C333" s="7" t="s">
        <v>670</v>
      </c>
      <c r="D333" s="49">
        <v>282.63499999999999</v>
      </c>
    </row>
    <row r="334" spans="1:4" ht="27" x14ac:dyDescent="0.3">
      <c r="A334" s="45" t="s">
        <v>900</v>
      </c>
      <c r="B334" s="44" t="s">
        <v>901</v>
      </c>
      <c r="C334" s="7" t="s">
        <v>198</v>
      </c>
      <c r="D334" s="49">
        <v>188.24100000000001</v>
      </c>
    </row>
    <row r="335" spans="1:4" ht="27" x14ac:dyDescent="0.3">
      <c r="A335" s="45" t="s">
        <v>902</v>
      </c>
      <c r="B335" s="44" t="s">
        <v>903</v>
      </c>
      <c r="C335" s="7" t="s">
        <v>198</v>
      </c>
      <c r="D335" s="49">
        <v>12.17</v>
      </c>
    </row>
    <row r="336" spans="1:4" x14ac:dyDescent="0.3">
      <c r="A336" s="45" t="s">
        <v>904</v>
      </c>
      <c r="B336" s="44" t="s">
        <v>905</v>
      </c>
      <c r="C336" s="7" t="s">
        <v>200</v>
      </c>
      <c r="D336" s="49">
        <v>6.34</v>
      </c>
    </row>
    <row r="337" spans="1:4" ht="27" x14ac:dyDescent="0.3">
      <c r="A337" s="45" t="s">
        <v>906</v>
      </c>
      <c r="B337" s="44" t="s">
        <v>907</v>
      </c>
      <c r="C337" s="7" t="s">
        <v>284</v>
      </c>
      <c r="D337" s="49">
        <v>2.7679999999999998</v>
      </c>
    </row>
    <row r="338" spans="1:4" ht="27" x14ac:dyDescent="0.3">
      <c r="A338" s="46" t="s">
        <v>908</v>
      </c>
      <c r="B338" s="44" t="s">
        <v>909</v>
      </c>
      <c r="C338" s="10" t="s">
        <v>198</v>
      </c>
      <c r="D338" s="49">
        <v>20.658000000000001</v>
      </c>
    </row>
    <row r="339" spans="1:4" x14ac:dyDescent="0.3">
      <c r="A339" s="45" t="s">
        <v>910</v>
      </c>
      <c r="B339" s="44" t="s">
        <v>911</v>
      </c>
      <c r="C339" s="7" t="s">
        <v>360</v>
      </c>
      <c r="D339" s="49">
        <v>345.77699999999999</v>
      </c>
    </row>
    <row r="340" spans="1:4" x14ac:dyDescent="0.3">
      <c r="A340" s="45" t="s">
        <v>912</v>
      </c>
      <c r="B340" s="44" t="s">
        <v>913</v>
      </c>
      <c r="C340" s="7" t="s">
        <v>273</v>
      </c>
      <c r="D340" s="49">
        <v>11.196</v>
      </c>
    </row>
    <row r="341" spans="1:4" ht="27" x14ac:dyDescent="0.3">
      <c r="A341" s="45" t="s">
        <v>914</v>
      </c>
      <c r="B341" s="44" t="s">
        <v>915</v>
      </c>
      <c r="C341" s="7" t="s">
        <v>553</v>
      </c>
      <c r="D341" s="49">
        <v>6.9770000000000003</v>
      </c>
    </row>
    <row r="342" spans="1:4" x14ac:dyDescent="0.3">
      <c r="A342" s="45" t="s">
        <v>916</v>
      </c>
      <c r="B342" s="44" t="s">
        <v>917</v>
      </c>
      <c r="C342" s="7" t="s">
        <v>257</v>
      </c>
      <c r="D342" s="49">
        <v>2.7559999999999998</v>
      </c>
    </row>
    <row r="343" spans="1:4" ht="27" x14ac:dyDescent="0.3">
      <c r="A343" s="45" t="s">
        <v>918</v>
      </c>
      <c r="B343" s="44" t="s">
        <v>919</v>
      </c>
      <c r="C343" s="7" t="s">
        <v>257</v>
      </c>
      <c r="D343" s="49">
        <v>7.9119999999999999</v>
      </c>
    </row>
    <row r="344" spans="1:4" x14ac:dyDescent="0.3">
      <c r="A344" s="45" t="s">
        <v>920</v>
      </c>
      <c r="B344" s="44" t="s">
        <v>921</v>
      </c>
      <c r="C344" s="7" t="s">
        <v>922</v>
      </c>
      <c r="D344" s="49">
        <v>1.724</v>
      </c>
    </row>
    <row r="345" spans="1:4" ht="27" x14ac:dyDescent="0.3">
      <c r="A345" s="45" t="s">
        <v>923</v>
      </c>
      <c r="B345" s="44" t="s">
        <v>924</v>
      </c>
      <c r="C345" s="7" t="s">
        <v>198</v>
      </c>
      <c r="D345" s="49">
        <v>4.0549999999999997</v>
      </c>
    </row>
    <row r="346" spans="1:4" ht="27" x14ac:dyDescent="0.3">
      <c r="A346" s="45" t="s">
        <v>925</v>
      </c>
      <c r="B346" s="44" t="s">
        <v>926</v>
      </c>
      <c r="C346" s="7" t="s">
        <v>199</v>
      </c>
      <c r="D346" s="49">
        <v>1.488</v>
      </c>
    </row>
    <row r="347" spans="1:4" ht="27" x14ac:dyDescent="0.3">
      <c r="A347" s="46" t="s">
        <v>927</v>
      </c>
      <c r="B347" s="44" t="s">
        <v>928</v>
      </c>
      <c r="C347" s="10" t="s">
        <v>354</v>
      </c>
      <c r="D347" s="49">
        <v>0.45</v>
      </c>
    </row>
    <row r="348" spans="1:4" ht="27" x14ac:dyDescent="0.3">
      <c r="A348" s="45" t="s">
        <v>929</v>
      </c>
      <c r="B348" s="44" t="s">
        <v>930</v>
      </c>
      <c r="C348" s="7" t="s">
        <v>931</v>
      </c>
      <c r="D348" s="49">
        <v>0.35899999999999999</v>
      </c>
    </row>
    <row r="349" spans="1:4" ht="27" x14ac:dyDescent="0.3">
      <c r="A349" s="45" t="s">
        <v>932</v>
      </c>
      <c r="B349" s="44" t="s">
        <v>933</v>
      </c>
      <c r="C349" s="7" t="s">
        <v>284</v>
      </c>
      <c r="D349" s="49">
        <v>0.63600000000000001</v>
      </c>
    </row>
    <row r="350" spans="1:4" ht="27" x14ac:dyDescent="0.3">
      <c r="A350" s="45" t="s">
        <v>934</v>
      </c>
      <c r="B350" s="44" t="s">
        <v>935</v>
      </c>
      <c r="C350" s="7" t="s">
        <v>936</v>
      </c>
      <c r="D350" s="49">
        <v>0.17899999999999999</v>
      </c>
    </row>
    <row r="351" spans="1:4" x14ac:dyDescent="0.3">
      <c r="A351" s="45" t="s">
        <v>937</v>
      </c>
      <c r="B351" s="44" t="s">
        <v>938</v>
      </c>
      <c r="C351" s="7" t="s">
        <v>199</v>
      </c>
      <c r="D351" s="49">
        <v>1.5129999999999999</v>
      </c>
    </row>
    <row r="352" spans="1:4" x14ac:dyDescent="0.3">
      <c r="A352" s="45" t="s">
        <v>939</v>
      </c>
      <c r="B352" s="44" t="s">
        <v>940</v>
      </c>
      <c r="C352" s="7" t="s">
        <v>199</v>
      </c>
      <c r="D352" s="49">
        <v>17.222000000000001</v>
      </c>
    </row>
    <row r="353" spans="1:4" x14ac:dyDescent="0.3">
      <c r="A353" s="45" t="s">
        <v>941</v>
      </c>
      <c r="B353" s="44" t="s">
        <v>942</v>
      </c>
      <c r="C353" s="7" t="s">
        <v>198</v>
      </c>
      <c r="D353" s="49">
        <v>11.393000000000001</v>
      </c>
    </row>
    <row r="354" spans="1:4" ht="27" x14ac:dyDescent="0.3">
      <c r="A354" s="45" t="s">
        <v>943</v>
      </c>
      <c r="B354" s="44" t="s">
        <v>944</v>
      </c>
      <c r="C354" s="7" t="s">
        <v>945</v>
      </c>
      <c r="D354" s="49">
        <v>2.552</v>
      </c>
    </row>
    <row r="355" spans="1:4" ht="27" x14ac:dyDescent="0.3">
      <c r="A355" s="45" t="s">
        <v>946</v>
      </c>
      <c r="B355" s="44" t="s">
        <v>944</v>
      </c>
      <c r="C355" s="7" t="s">
        <v>947</v>
      </c>
      <c r="D355" s="49">
        <v>1.276</v>
      </c>
    </row>
    <row r="356" spans="1:4" ht="27" x14ac:dyDescent="0.3">
      <c r="A356" s="45" t="s">
        <v>948</v>
      </c>
      <c r="B356" s="44" t="s">
        <v>949</v>
      </c>
      <c r="C356" s="7" t="s">
        <v>947</v>
      </c>
      <c r="D356" s="49">
        <v>1.024</v>
      </c>
    </row>
    <row r="357" spans="1:4" ht="27" x14ac:dyDescent="0.3">
      <c r="A357" s="45" t="s">
        <v>950</v>
      </c>
      <c r="B357" s="44" t="s">
        <v>944</v>
      </c>
      <c r="C357" s="7" t="s">
        <v>951</v>
      </c>
      <c r="D357" s="49">
        <v>0.63800000000000001</v>
      </c>
    </row>
    <row r="358" spans="1:4" x14ac:dyDescent="0.3">
      <c r="A358" s="45" t="s">
        <v>952</v>
      </c>
      <c r="B358" s="44" t="s">
        <v>953</v>
      </c>
      <c r="C358" s="7" t="s">
        <v>947</v>
      </c>
      <c r="D358" s="49">
        <v>1.784</v>
      </c>
    </row>
    <row r="359" spans="1:4" x14ac:dyDescent="0.3">
      <c r="A359" s="45" t="s">
        <v>954</v>
      </c>
      <c r="B359" s="44" t="s">
        <v>955</v>
      </c>
      <c r="C359" s="7" t="s">
        <v>956</v>
      </c>
      <c r="D359" s="49">
        <v>3.5089999999999999</v>
      </c>
    </row>
    <row r="360" spans="1:4" ht="27" x14ac:dyDescent="0.3">
      <c r="A360" s="45" t="s">
        <v>957</v>
      </c>
      <c r="B360" s="44" t="s">
        <v>958</v>
      </c>
      <c r="C360" s="7" t="s">
        <v>956</v>
      </c>
      <c r="D360" s="49">
        <v>2.3406158679325553</v>
      </c>
    </row>
    <row r="361" spans="1:4" ht="27" x14ac:dyDescent="0.3">
      <c r="A361" s="45" t="s">
        <v>959</v>
      </c>
      <c r="B361" s="44" t="s">
        <v>960</v>
      </c>
      <c r="C361" s="7" t="s">
        <v>396</v>
      </c>
      <c r="D361" s="49">
        <v>47.725999999999999</v>
      </c>
    </row>
    <row r="362" spans="1:4" ht="27" x14ac:dyDescent="0.3">
      <c r="A362" s="45" t="s">
        <v>961</v>
      </c>
      <c r="B362" s="44" t="s">
        <v>962</v>
      </c>
      <c r="C362" s="7" t="s">
        <v>963</v>
      </c>
      <c r="D362" s="49">
        <v>7.8789999999999996</v>
      </c>
    </row>
    <row r="363" spans="1:4" x14ac:dyDescent="0.3">
      <c r="A363" s="45" t="s">
        <v>1579</v>
      </c>
      <c r="B363" s="44" t="s">
        <v>1580</v>
      </c>
      <c r="C363" s="7" t="s">
        <v>198</v>
      </c>
      <c r="D363" s="49">
        <v>1.19</v>
      </c>
    </row>
    <row r="364" spans="1:4" ht="27" x14ac:dyDescent="0.3">
      <c r="A364" s="45" t="s">
        <v>964</v>
      </c>
      <c r="B364" s="44" t="s">
        <v>965</v>
      </c>
      <c r="C364" s="7" t="s">
        <v>963</v>
      </c>
      <c r="D364" s="49">
        <v>1.244</v>
      </c>
    </row>
    <row r="365" spans="1:4" ht="27" x14ac:dyDescent="0.3">
      <c r="A365" s="45" t="s">
        <v>966</v>
      </c>
      <c r="B365" s="44" t="s">
        <v>967</v>
      </c>
      <c r="C365" s="7" t="s">
        <v>963</v>
      </c>
      <c r="D365" s="49">
        <v>1.796</v>
      </c>
    </row>
    <row r="366" spans="1:4" ht="27" x14ac:dyDescent="0.3">
      <c r="A366" s="45" t="s">
        <v>968</v>
      </c>
      <c r="B366" s="44" t="s">
        <v>969</v>
      </c>
      <c r="C366" s="7" t="s">
        <v>963</v>
      </c>
      <c r="D366" s="49">
        <v>8.782</v>
      </c>
    </row>
    <row r="367" spans="1:4" ht="27" x14ac:dyDescent="0.3">
      <c r="A367" s="45" t="s">
        <v>970</v>
      </c>
      <c r="B367" s="44" t="s">
        <v>971</v>
      </c>
      <c r="C367" s="7" t="s">
        <v>963</v>
      </c>
      <c r="D367" s="49">
        <v>15.565</v>
      </c>
    </row>
    <row r="368" spans="1:4" ht="27" x14ac:dyDescent="0.3">
      <c r="A368" s="46" t="s">
        <v>972</v>
      </c>
      <c r="B368" s="44" t="s">
        <v>973</v>
      </c>
      <c r="C368" s="7" t="s">
        <v>963</v>
      </c>
      <c r="D368" s="49">
        <v>1.2989999999999999</v>
      </c>
    </row>
    <row r="369" spans="1:4" x14ac:dyDescent="0.3">
      <c r="A369" s="45" t="s">
        <v>974</v>
      </c>
      <c r="B369" s="44" t="s">
        <v>975</v>
      </c>
      <c r="C369" s="7" t="s">
        <v>976</v>
      </c>
      <c r="D369" s="49">
        <v>0.97299999999999998</v>
      </c>
    </row>
    <row r="370" spans="1:4" x14ac:dyDescent="0.3">
      <c r="A370" s="45" t="s">
        <v>977</v>
      </c>
      <c r="B370" s="44" t="s">
        <v>978</v>
      </c>
      <c r="C370" s="7" t="s">
        <v>963</v>
      </c>
      <c r="D370" s="49">
        <v>1.2529999999999999</v>
      </c>
    </row>
    <row r="371" spans="1:4" ht="27" x14ac:dyDescent="0.3">
      <c r="A371" s="45" t="s">
        <v>979</v>
      </c>
      <c r="B371" s="44" t="s">
        <v>980</v>
      </c>
      <c r="C371" s="13" t="s">
        <v>981</v>
      </c>
      <c r="D371" s="49">
        <v>1.107</v>
      </c>
    </row>
    <row r="372" spans="1:4" x14ac:dyDescent="0.3">
      <c r="A372" s="45" t="s">
        <v>982</v>
      </c>
      <c r="B372" s="44" t="s">
        <v>983</v>
      </c>
      <c r="C372" s="7" t="s">
        <v>963</v>
      </c>
      <c r="D372" s="49">
        <v>1.206</v>
      </c>
    </row>
    <row r="373" spans="1:4" ht="27" x14ac:dyDescent="0.3">
      <c r="A373" s="45" t="s">
        <v>984</v>
      </c>
      <c r="B373" s="44" t="s">
        <v>985</v>
      </c>
      <c r="C373" s="7" t="s">
        <v>963</v>
      </c>
      <c r="D373" s="49">
        <v>3.1869999999999998</v>
      </c>
    </row>
    <row r="374" spans="1:4" x14ac:dyDescent="0.3">
      <c r="A374" s="45" t="s">
        <v>986</v>
      </c>
      <c r="B374" s="44" t="s">
        <v>987</v>
      </c>
      <c r="C374" s="13" t="s">
        <v>452</v>
      </c>
      <c r="D374" s="49">
        <v>2.246</v>
      </c>
    </row>
    <row r="375" spans="1:4" x14ac:dyDescent="0.3">
      <c r="A375" s="45" t="s">
        <v>988</v>
      </c>
      <c r="B375" s="44" t="s">
        <v>989</v>
      </c>
      <c r="C375" s="7" t="s">
        <v>963</v>
      </c>
      <c r="D375" s="49">
        <v>1.198</v>
      </c>
    </row>
    <row r="376" spans="1:4" ht="27" x14ac:dyDescent="0.3">
      <c r="A376" s="45" t="s">
        <v>990</v>
      </c>
      <c r="B376" s="44" t="s">
        <v>991</v>
      </c>
      <c r="C376" s="7" t="s">
        <v>963</v>
      </c>
      <c r="D376" s="49">
        <v>1.3740000000000001</v>
      </c>
    </row>
    <row r="377" spans="1:4" ht="27" x14ac:dyDescent="0.3">
      <c r="A377" s="45" t="s">
        <v>992</v>
      </c>
      <c r="B377" s="44" t="s">
        <v>993</v>
      </c>
      <c r="C377" s="7" t="s">
        <v>963</v>
      </c>
      <c r="D377" s="49">
        <v>1.165</v>
      </c>
    </row>
    <row r="378" spans="1:4" x14ac:dyDescent="0.3">
      <c r="A378" s="45" t="s">
        <v>994</v>
      </c>
      <c r="B378" s="44" t="s">
        <v>995</v>
      </c>
      <c r="C378" s="7" t="s">
        <v>963</v>
      </c>
      <c r="D378" s="49">
        <v>1.5069999999999999</v>
      </c>
    </row>
    <row r="379" spans="1:4" ht="27" x14ac:dyDescent="0.3">
      <c r="A379" s="45" t="s">
        <v>996</v>
      </c>
      <c r="B379" s="44" t="s">
        <v>997</v>
      </c>
      <c r="C379" s="7" t="s">
        <v>963</v>
      </c>
      <c r="D379" s="49">
        <v>1.5409999999999999</v>
      </c>
    </row>
    <row r="380" spans="1:4" ht="27" x14ac:dyDescent="0.3">
      <c r="A380" s="45" t="s">
        <v>998</v>
      </c>
      <c r="B380" s="44" t="s">
        <v>999</v>
      </c>
      <c r="C380" s="7" t="s">
        <v>963</v>
      </c>
      <c r="D380" s="49">
        <v>3.4689999999999999</v>
      </c>
    </row>
    <row r="381" spans="1:4" x14ac:dyDescent="0.3">
      <c r="A381" s="45" t="s">
        <v>1000</v>
      </c>
      <c r="B381" s="44" t="s">
        <v>1001</v>
      </c>
      <c r="C381" s="7" t="s">
        <v>963</v>
      </c>
      <c r="D381" s="49">
        <v>2.0289999999999999</v>
      </c>
    </row>
    <row r="382" spans="1:4" ht="27" x14ac:dyDescent="0.3">
      <c r="A382" s="45" t="s">
        <v>1002</v>
      </c>
      <c r="B382" s="44" t="s">
        <v>1003</v>
      </c>
      <c r="C382" s="7" t="s">
        <v>963</v>
      </c>
      <c r="D382" s="49">
        <v>1.45</v>
      </c>
    </row>
    <row r="383" spans="1:4" ht="27" x14ac:dyDescent="0.3">
      <c r="A383" s="45" t="s">
        <v>1004</v>
      </c>
      <c r="B383" s="44" t="s">
        <v>1005</v>
      </c>
      <c r="C383" s="7" t="s">
        <v>963</v>
      </c>
      <c r="D383" s="49">
        <v>3.25</v>
      </c>
    </row>
    <row r="384" spans="1:4" x14ac:dyDescent="0.3">
      <c r="A384" s="45" t="s">
        <v>1006</v>
      </c>
      <c r="B384" s="44" t="s">
        <v>1007</v>
      </c>
      <c r="C384" s="7" t="s">
        <v>963</v>
      </c>
      <c r="D384" s="49">
        <v>4.4359999999999999</v>
      </c>
    </row>
    <row r="385" spans="1:4" ht="27" x14ac:dyDescent="0.3">
      <c r="A385" s="45" t="s">
        <v>1581</v>
      </c>
      <c r="B385" s="44" t="s">
        <v>1582</v>
      </c>
      <c r="C385" s="7" t="s">
        <v>198</v>
      </c>
      <c r="D385" s="49">
        <v>4.0510000000000002</v>
      </c>
    </row>
    <row r="386" spans="1:4" ht="27" x14ac:dyDescent="0.3">
      <c r="A386" s="45" t="s">
        <v>1008</v>
      </c>
      <c r="B386" s="44" t="s">
        <v>1009</v>
      </c>
      <c r="C386" s="7" t="s">
        <v>963</v>
      </c>
      <c r="D386" s="49">
        <v>2.1589999999999998</v>
      </c>
    </row>
    <row r="387" spans="1:4" ht="27" x14ac:dyDescent="0.3">
      <c r="A387" s="45" t="s">
        <v>1010</v>
      </c>
      <c r="B387" s="44" t="s">
        <v>1011</v>
      </c>
      <c r="C387" s="7" t="s">
        <v>963</v>
      </c>
      <c r="D387" s="49">
        <v>1.8680000000000001</v>
      </c>
    </row>
    <row r="388" spans="1:4" x14ac:dyDescent="0.3">
      <c r="A388" s="45" t="s">
        <v>1012</v>
      </c>
      <c r="B388" s="44" t="s">
        <v>1583</v>
      </c>
      <c r="C388" s="7" t="s">
        <v>963</v>
      </c>
      <c r="D388" s="49">
        <v>2.0179999999999998</v>
      </c>
    </row>
    <row r="389" spans="1:4" ht="27" x14ac:dyDescent="0.3">
      <c r="A389" s="45" t="s">
        <v>1014</v>
      </c>
      <c r="B389" s="44" t="s">
        <v>1015</v>
      </c>
      <c r="C389" s="7" t="s">
        <v>963</v>
      </c>
      <c r="D389" s="49">
        <v>1.339</v>
      </c>
    </row>
    <row r="390" spans="1:4" x14ac:dyDescent="0.3">
      <c r="A390" s="45" t="s">
        <v>1016</v>
      </c>
      <c r="B390" s="44" t="s">
        <v>1584</v>
      </c>
      <c r="C390" s="7" t="s">
        <v>963</v>
      </c>
      <c r="D390" s="49">
        <v>1.345</v>
      </c>
    </row>
    <row r="391" spans="1:4" x14ac:dyDescent="0.3">
      <c r="A391" s="45" t="s">
        <v>1018</v>
      </c>
      <c r="B391" s="44" t="s">
        <v>1019</v>
      </c>
      <c r="C391" s="7" t="s">
        <v>963</v>
      </c>
      <c r="D391" s="49">
        <v>1.226</v>
      </c>
    </row>
    <row r="392" spans="1:4" ht="27" x14ac:dyDescent="0.3">
      <c r="A392" s="45" t="s">
        <v>1020</v>
      </c>
      <c r="B392" s="44" t="s">
        <v>1021</v>
      </c>
      <c r="C392" s="7" t="s">
        <v>1022</v>
      </c>
      <c r="D392" s="49">
        <v>394.62599999999998</v>
      </c>
    </row>
    <row r="393" spans="1:4" x14ac:dyDescent="0.3">
      <c r="A393" s="45" t="s">
        <v>1023</v>
      </c>
      <c r="B393" s="44" t="s">
        <v>1585</v>
      </c>
      <c r="C393" s="7" t="s">
        <v>318</v>
      </c>
      <c r="D393" s="49">
        <v>341.298</v>
      </c>
    </row>
    <row r="394" spans="1:4" ht="27" x14ac:dyDescent="0.3">
      <c r="A394" s="45" t="s">
        <v>1026</v>
      </c>
      <c r="B394" s="44" t="s">
        <v>1027</v>
      </c>
      <c r="C394" s="7" t="s">
        <v>273</v>
      </c>
      <c r="D394" s="49">
        <v>200.078</v>
      </c>
    </row>
    <row r="395" spans="1:4" x14ac:dyDescent="0.3">
      <c r="A395" s="46" t="s">
        <v>1028</v>
      </c>
      <c r="B395" s="44" t="s">
        <v>1586</v>
      </c>
      <c r="C395" s="10" t="s">
        <v>318</v>
      </c>
      <c r="D395" s="49">
        <v>490.80099999999999</v>
      </c>
    </row>
    <row r="396" spans="1:4" x14ac:dyDescent="0.3">
      <c r="A396" s="45" t="s">
        <v>1625</v>
      </c>
      <c r="B396" s="44" t="s">
        <v>1626</v>
      </c>
      <c r="C396" s="7" t="s">
        <v>318</v>
      </c>
      <c r="D396" s="49">
        <v>491.13299999999998</v>
      </c>
    </row>
    <row r="397" spans="1:4" ht="27" x14ac:dyDescent="0.3">
      <c r="A397" s="46" t="s">
        <v>1030</v>
      </c>
      <c r="B397" s="44" t="s">
        <v>1031</v>
      </c>
      <c r="C397" s="10" t="s">
        <v>1032</v>
      </c>
      <c r="D397" s="49">
        <v>1046.9269999999999</v>
      </c>
    </row>
    <row r="398" spans="1:4" ht="27" x14ac:dyDescent="0.3">
      <c r="A398" s="45" t="s">
        <v>1033</v>
      </c>
      <c r="B398" s="44" t="s">
        <v>1034</v>
      </c>
      <c r="C398" s="7" t="s">
        <v>1035</v>
      </c>
      <c r="D398" s="49">
        <v>75.73</v>
      </c>
    </row>
    <row r="399" spans="1:4" x14ac:dyDescent="0.3">
      <c r="A399" s="45" t="s">
        <v>1036</v>
      </c>
      <c r="B399" s="44" t="s">
        <v>1037</v>
      </c>
      <c r="C399" s="7" t="s">
        <v>1035</v>
      </c>
      <c r="D399" s="49">
        <v>149.22900000000001</v>
      </c>
    </row>
    <row r="400" spans="1:4" ht="27" x14ac:dyDescent="0.3">
      <c r="A400" s="45" t="s">
        <v>1587</v>
      </c>
      <c r="B400" s="44" t="s">
        <v>1588</v>
      </c>
      <c r="C400" s="7" t="s">
        <v>1589</v>
      </c>
      <c r="D400" s="49">
        <v>133.535</v>
      </c>
    </row>
    <row r="401" spans="1:4" ht="27" x14ac:dyDescent="0.3">
      <c r="A401" s="45" t="s">
        <v>1038</v>
      </c>
      <c r="B401" s="44" t="s">
        <v>1039</v>
      </c>
      <c r="C401" s="7" t="s">
        <v>198</v>
      </c>
      <c r="D401" s="49">
        <v>11.186</v>
      </c>
    </row>
    <row r="402" spans="1:4" ht="27" x14ac:dyDescent="0.3">
      <c r="A402" s="45" t="s">
        <v>1590</v>
      </c>
      <c r="B402" s="44" t="s">
        <v>1591</v>
      </c>
      <c r="C402" s="7" t="s">
        <v>1589</v>
      </c>
      <c r="D402" s="49">
        <v>766.34299999999996</v>
      </c>
    </row>
    <row r="403" spans="1:4" x14ac:dyDescent="0.3">
      <c r="A403" s="45" t="s">
        <v>1040</v>
      </c>
      <c r="B403" s="44" t="s">
        <v>1041</v>
      </c>
      <c r="C403" s="7" t="s">
        <v>1042</v>
      </c>
      <c r="D403" s="49">
        <v>3.25</v>
      </c>
    </row>
    <row r="404" spans="1:4" ht="27" x14ac:dyDescent="0.3">
      <c r="A404" s="45" t="s">
        <v>1043</v>
      </c>
      <c r="B404" s="44" t="s">
        <v>1044</v>
      </c>
      <c r="C404" s="7" t="s">
        <v>1045</v>
      </c>
      <c r="D404" s="49">
        <v>221.96</v>
      </c>
    </row>
    <row r="405" spans="1:4" ht="27" x14ac:dyDescent="0.3">
      <c r="A405" s="45" t="s">
        <v>1627</v>
      </c>
      <c r="B405" s="44" t="s">
        <v>1628</v>
      </c>
      <c r="C405" s="7" t="s">
        <v>762</v>
      </c>
      <c r="D405" s="49">
        <v>29.975000000000001</v>
      </c>
    </row>
    <row r="406" spans="1:4" ht="27" x14ac:dyDescent="0.3">
      <c r="A406" s="46" t="s">
        <v>1046</v>
      </c>
      <c r="B406" s="44" t="s">
        <v>1047</v>
      </c>
      <c r="C406" s="10" t="s">
        <v>199</v>
      </c>
      <c r="D406" s="49">
        <v>1.5289999999999999</v>
      </c>
    </row>
    <row r="407" spans="1:4" ht="27" x14ac:dyDescent="0.3">
      <c r="A407" s="45" t="s">
        <v>1048</v>
      </c>
      <c r="B407" s="44" t="s">
        <v>1049</v>
      </c>
      <c r="C407" s="7" t="s">
        <v>209</v>
      </c>
      <c r="D407" s="49">
        <v>0.68200000000000005</v>
      </c>
    </row>
    <row r="408" spans="1:4" ht="27" x14ac:dyDescent="0.3">
      <c r="A408" s="45" t="s">
        <v>1050</v>
      </c>
      <c r="B408" s="44" t="s">
        <v>1051</v>
      </c>
      <c r="C408" s="7" t="s">
        <v>257</v>
      </c>
      <c r="D408" s="49">
        <v>2.1190000000000002</v>
      </c>
    </row>
    <row r="409" spans="1:4" ht="27" x14ac:dyDescent="0.3">
      <c r="A409" s="46" t="s">
        <v>1052</v>
      </c>
      <c r="B409" s="44" t="s">
        <v>1053</v>
      </c>
      <c r="C409" s="10" t="s">
        <v>458</v>
      </c>
      <c r="D409" s="49">
        <v>1.383</v>
      </c>
    </row>
    <row r="410" spans="1:4" ht="27" x14ac:dyDescent="0.3">
      <c r="A410" s="45" t="s">
        <v>1054</v>
      </c>
      <c r="B410" s="44" t="s">
        <v>1055</v>
      </c>
      <c r="C410" s="7" t="s">
        <v>295</v>
      </c>
      <c r="D410" s="49">
        <v>2225.6170000000002</v>
      </c>
    </row>
    <row r="411" spans="1:4" ht="27" x14ac:dyDescent="0.3">
      <c r="A411" s="45" t="s">
        <v>1056</v>
      </c>
      <c r="B411" s="44" t="s">
        <v>1057</v>
      </c>
      <c r="C411" s="7" t="s">
        <v>198</v>
      </c>
      <c r="D411" s="49">
        <v>0.58699999999999997</v>
      </c>
    </row>
    <row r="412" spans="1:4" ht="27" x14ac:dyDescent="0.3">
      <c r="A412" s="46" t="s">
        <v>1058</v>
      </c>
      <c r="B412" s="44" t="s">
        <v>1059</v>
      </c>
      <c r="C412" s="10" t="s">
        <v>273</v>
      </c>
      <c r="D412" s="49">
        <v>0.47799999999999998</v>
      </c>
    </row>
    <row r="413" spans="1:4" ht="27" x14ac:dyDescent="0.3">
      <c r="A413" s="45" t="s">
        <v>1060</v>
      </c>
      <c r="B413" s="44" t="s">
        <v>1061</v>
      </c>
      <c r="C413" s="7" t="s">
        <v>513</v>
      </c>
      <c r="D413" s="49">
        <v>0.33700000000000002</v>
      </c>
    </row>
    <row r="414" spans="1:4" ht="27" x14ac:dyDescent="0.3">
      <c r="A414" s="45" t="s">
        <v>1062</v>
      </c>
      <c r="B414" s="44" t="s">
        <v>1063</v>
      </c>
      <c r="C414" s="7" t="s">
        <v>200</v>
      </c>
      <c r="D414" s="49">
        <v>0.121</v>
      </c>
    </row>
    <row r="415" spans="1:4" ht="27" x14ac:dyDescent="0.3">
      <c r="A415" s="45" t="s">
        <v>1064</v>
      </c>
      <c r="B415" s="44" t="s">
        <v>1065</v>
      </c>
      <c r="C415" s="7" t="s">
        <v>553</v>
      </c>
      <c r="D415" s="49">
        <v>778.995</v>
      </c>
    </row>
    <row r="416" spans="1:4" ht="27" x14ac:dyDescent="0.3">
      <c r="A416" s="45" t="s">
        <v>1066</v>
      </c>
      <c r="B416" s="44" t="s">
        <v>1067</v>
      </c>
      <c r="C416" s="7" t="s">
        <v>198</v>
      </c>
      <c r="D416" s="49">
        <v>1.2E-2</v>
      </c>
    </row>
    <row r="417" spans="1:4" ht="27" x14ac:dyDescent="0.3">
      <c r="A417" s="45" t="s">
        <v>1068</v>
      </c>
      <c r="B417" s="44" t="s">
        <v>1069</v>
      </c>
      <c r="C417" s="7" t="s">
        <v>553</v>
      </c>
      <c r="D417" s="49">
        <v>0.70299999999999996</v>
      </c>
    </row>
    <row r="418" spans="1:4" ht="27" x14ac:dyDescent="0.3">
      <c r="A418" s="45" t="s">
        <v>1070</v>
      </c>
      <c r="B418" s="44" t="s">
        <v>1071</v>
      </c>
      <c r="C418" s="7" t="s">
        <v>295</v>
      </c>
      <c r="D418" s="49">
        <v>61.704000000000001</v>
      </c>
    </row>
    <row r="419" spans="1:4" ht="27" x14ac:dyDescent="0.3">
      <c r="A419" s="45" t="s">
        <v>1072</v>
      </c>
      <c r="B419" s="44" t="s">
        <v>1073</v>
      </c>
      <c r="C419" s="7" t="s">
        <v>295</v>
      </c>
      <c r="D419" s="49">
        <v>0.40500000000000003</v>
      </c>
    </row>
    <row r="420" spans="1:4" x14ac:dyDescent="0.3">
      <c r="A420" s="45" t="s">
        <v>1074</v>
      </c>
      <c r="B420" s="44" t="s">
        <v>1075</v>
      </c>
      <c r="C420" s="7" t="s">
        <v>1076</v>
      </c>
      <c r="D420" s="49">
        <v>2.286</v>
      </c>
    </row>
    <row r="421" spans="1:4" x14ac:dyDescent="0.3">
      <c r="A421" s="45" t="s">
        <v>1077</v>
      </c>
      <c r="B421" s="44" t="s">
        <v>1078</v>
      </c>
      <c r="C421" s="7" t="s">
        <v>198</v>
      </c>
      <c r="D421" s="49">
        <v>6.7089999999999996</v>
      </c>
    </row>
    <row r="422" spans="1:4" x14ac:dyDescent="0.3">
      <c r="A422" s="45" t="s">
        <v>1079</v>
      </c>
      <c r="B422" s="44" t="s">
        <v>1080</v>
      </c>
      <c r="C422" s="7" t="s">
        <v>200</v>
      </c>
      <c r="D422" s="49">
        <v>212.16578400000003</v>
      </c>
    </row>
    <row r="423" spans="1:4" x14ac:dyDescent="0.3">
      <c r="A423" s="45" t="s">
        <v>1081</v>
      </c>
      <c r="B423" s="44" t="s">
        <v>1082</v>
      </c>
      <c r="C423" s="7" t="s">
        <v>458</v>
      </c>
      <c r="D423" s="49">
        <v>8.8940000000000001</v>
      </c>
    </row>
    <row r="424" spans="1:4" ht="27" x14ac:dyDescent="0.3">
      <c r="A424" s="45" t="s">
        <v>1083</v>
      </c>
      <c r="B424" s="44" t="s">
        <v>1084</v>
      </c>
      <c r="C424" s="7" t="s">
        <v>1085</v>
      </c>
      <c r="D424" s="49">
        <v>10.999000000000001</v>
      </c>
    </row>
    <row r="425" spans="1:4" ht="27" x14ac:dyDescent="0.3">
      <c r="A425" s="45" t="s">
        <v>1086</v>
      </c>
      <c r="B425" s="44" t="s">
        <v>1087</v>
      </c>
      <c r="C425" s="7" t="s">
        <v>239</v>
      </c>
      <c r="D425" s="49">
        <v>11.635</v>
      </c>
    </row>
    <row r="426" spans="1:4" ht="27" x14ac:dyDescent="0.3">
      <c r="A426" s="45" t="s">
        <v>1088</v>
      </c>
      <c r="B426" s="44" t="s">
        <v>1089</v>
      </c>
      <c r="C426" s="17" t="s">
        <v>405</v>
      </c>
      <c r="D426" s="49">
        <v>5.4829999999999997</v>
      </c>
    </row>
    <row r="427" spans="1:4" ht="27" x14ac:dyDescent="0.3">
      <c r="A427" s="45" t="s">
        <v>1090</v>
      </c>
      <c r="B427" s="44" t="s">
        <v>1091</v>
      </c>
      <c r="C427" s="7" t="s">
        <v>198</v>
      </c>
      <c r="D427" s="49">
        <v>0.23499999999999999</v>
      </c>
    </row>
    <row r="428" spans="1:4" ht="27" x14ac:dyDescent="0.3">
      <c r="A428" s="45" t="s">
        <v>1092</v>
      </c>
      <c r="B428" s="44" t="s">
        <v>1093</v>
      </c>
      <c r="C428" s="7" t="s">
        <v>396</v>
      </c>
      <c r="D428" s="49">
        <v>0.28799999999999998</v>
      </c>
    </row>
    <row r="429" spans="1:4" ht="27" x14ac:dyDescent="0.3">
      <c r="A429" s="45" t="s">
        <v>1094</v>
      </c>
      <c r="B429" s="44" t="s">
        <v>1095</v>
      </c>
      <c r="C429" s="7" t="s">
        <v>198</v>
      </c>
      <c r="D429" s="49">
        <v>4.7E-2</v>
      </c>
    </row>
    <row r="430" spans="1:4" ht="27" x14ac:dyDescent="0.3">
      <c r="A430" s="45" t="s">
        <v>1096</v>
      </c>
      <c r="B430" s="44" t="s">
        <v>1097</v>
      </c>
      <c r="C430" s="7" t="s">
        <v>396</v>
      </c>
      <c r="D430" s="49">
        <v>0.06</v>
      </c>
    </row>
    <row r="431" spans="1:4" ht="27" x14ac:dyDescent="0.3">
      <c r="A431" s="45" t="s">
        <v>1098</v>
      </c>
      <c r="B431" s="44" t="s">
        <v>1099</v>
      </c>
      <c r="C431" s="7" t="s">
        <v>1100</v>
      </c>
      <c r="D431" s="49">
        <v>0.13400000000000001</v>
      </c>
    </row>
    <row r="432" spans="1:4" ht="27" x14ac:dyDescent="0.3">
      <c r="A432" s="45" t="s">
        <v>1101</v>
      </c>
      <c r="B432" s="44" t="s">
        <v>1102</v>
      </c>
      <c r="C432" s="7" t="s">
        <v>396</v>
      </c>
      <c r="D432" s="49">
        <v>1.7769999999999999</v>
      </c>
    </row>
    <row r="433" spans="1:4" ht="27" x14ac:dyDescent="0.3">
      <c r="A433" s="45" t="s">
        <v>1103</v>
      </c>
      <c r="B433" s="44" t="s">
        <v>1104</v>
      </c>
      <c r="C433" s="7" t="s">
        <v>199</v>
      </c>
      <c r="D433" s="49">
        <v>4.0229999999999997</v>
      </c>
    </row>
    <row r="434" spans="1:4" ht="27" x14ac:dyDescent="0.3">
      <c r="A434" s="45" t="s">
        <v>1105</v>
      </c>
      <c r="B434" s="44" t="s">
        <v>1106</v>
      </c>
      <c r="C434" s="7" t="s">
        <v>198</v>
      </c>
      <c r="D434" s="49">
        <v>47.784999999999997</v>
      </c>
    </row>
    <row r="435" spans="1:4" ht="27" x14ac:dyDescent="0.3">
      <c r="A435" s="45" t="s">
        <v>1107</v>
      </c>
      <c r="B435" s="44" t="s">
        <v>1108</v>
      </c>
      <c r="C435" s="7" t="s">
        <v>198</v>
      </c>
      <c r="D435" s="49">
        <v>0.20799999999999999</v>
      </c>
    </row>
    <row r="436" spans="1:4" ht="27" x14ac:dyDescent="0.3">
      <c r="A436" s="45" t="s">
        <v>1109</v>
      </c>
      <c r="B436" s="44" t="s">
        <v>1110</v>
      </c>
      <c r="C436" s="7" t="s">
        <v>198</v>
      </c>
      <c r="D436" s="49">
        <v>0.76800000000000002</v>
      </c>
    </row>
    <row r="437" spans="1:4" ht="27" x14ac:dyDescent="0.3">
      <c r="A437" s="45" t="s">
        <v>1629</v>
      </c>
      <c r="B437" s="44" t="s">
        <v>1630</v>
      </c>
      <c r="C437" s="7" t="s">
        <v>452</v>
      </c>
      <c r="D437" s="49">
        <v>0.19600000000000001</v>
      </c>
    </row>
    <row r="438" spans="1:4" ht="27" x14ac:dyDescent="0.3">
      <c r="A438" s="45" t="s">
        <v>1111</v>
      </c>
      <c r="B438" s="44" t="s">
        <v>1112</v>
      </c>
      <c r="C438" s="7" t="s">
        <v>683</v>
      </c>
      <c r="D438" s="49">
        <v>31.478000000000002</v>
      </c>
    </row>
    <row r="439" spans="1:4" ht="27" x14ac:dyDescent="0.3">
      <c r="A439" s="45" t="s">
        <v>1113</v>
      </c>
      <c r="B439" s="44" t="s">
        <v>1114</v>
      </c>
      <c r="C439" s="7" t="s">
        <v>1115</v>
      </c>
      <c r="D439" s="49">
        <v>642.99199999999996</v>
      </c>
    </row>
    <row r="440" spans="1:4" x14ac:dyDescent="0.3">
      <c r="A440" s="45" t="s">
        <v>1116</v>
      </c>
      <c r="B440" s="44" t="s">
        <v>1117</v>
      </c>
      <c r="C440" s="7" t="s">
        <v>200</v>
      </c>
      <c r="D440" s="49">
        <v>4.8739999999999997</v>
      </c>
    </row>
    <row r="441" spans="1:4" ht="27" x14ac:dyDescent="0.3">
      <c r="A441" s="45" t="s">
        <v>1120</v>
      </c>
      <c r="B441" s="44" t="s">
        <v>1121</v>
      </c>
      <c r="C441" s="7" t="s">
        <v>445</v>
      </c>
      <c r="D441" s="49">
        <v>0.83899999999999997</v>
      </c>
    </row>
    <row r="442" spans="1:4" ht="27" x14ac:dyDescent="0.3">
      <c r="A442" s="45" t="s">
        <v>1122</v>
      </c>
      <c r="B442" s="44" t="s">
        <v>1123</v>
      </c>
      <c r="C442" s="7" t="s">
        <v>284</v>
      </c>
      <c r="D442" s="49">
        <v>2.1339999999999999</v>
      </c>
    </row>
    <row r="443" spans="1:4" ht="27" x14ac:dyDescent="0.3">
      <c r="A443" s="45" t="s">
        <v>1124</v>
      </c>
      <c r="B443" s="44" t="s">
        <v>1125</v>
      </c>
      <c r="C443" s="7" t="s">
        <v>553</v>
      </c>
      <c r="D443" s="49">
        <v>2.258</v>
      </c>
    </row>
    <row r="444" spans="1:4" x14ac:dyDescent="0.3">
      <c r="A444" s="45" t="s">
        <v>1126</v>
      </c>
      <c r="B444" s="44" t="s">
        <v>1127</v>
      </c>
      <c r="C444" s="7" t="s">
        <v>458</v>
      </c>
      <c r="D444" s="49">
        <v>0.10299999999999999</v>
      </c>
    </row>
    <row r="445" spans="1:4" x14ac:dyDescent="0.3">
      <c r="A445" s="45" t="s">
        <v>1128</v>
      </c>
      <c r="B445" s="44" t="s">
        <v>1129</v>
      </c>
      <c r="C445" s="7" t="s">
        <v>209</v>
      </c>
      <c r="D445" s="49">
        <v>75.290000000000006</v>
      </c>
    </row>
    <row r="446" spans="1:4" ht="27" x14ac:dyDescent="0.3">
      <c r="A446" s="45" t="s">
        <v>1132</v>
      </c>
      <c r="B446" s="44" t="s">
        <v>1133</v>
      </c>
      <c r="C446" s="7" t="s">
        <v>1134</v>
      </c>
      <c r="D446" s="49">
        <v>0.22</v>
      </c>
    </row>
    <row r="447" spans="1:4" ht="27" x14ac:dyDescent="0.3">
      <c r="A447" s="46" t="s">
        <v>1135</v>
      </c>
      <c r="B447" s="44" t="s">
        <v>1136</v>
      </c>
      <c r="C447" s="10" t="s">
        <v>396</v>
      </c>
      <c r="D447" s="49">
        <v>236.01499999999999</v>
      </c>
    </row>
    <row r="448" spans="1:4" x14ac:dyDescent="0.3">
      <c r="A448" s="45" t="s">
        <v>1137</v>
      </c>
      <c r="B448" s="44" t="s">
        <v>1138</v>
      </c>
      <c r="C448" s="7" t="s">
        <v>198</v>
      </c>
      <c r="D448" s="49">
        <v>2.7389999999999999</v>
      </c>
    </row>
    <row r="449" spans="1:4" x14ac:dyDescent="0.3">
      <c r="A449" s="45" t="s">
        <v>1139</v>
      </c>
      <c r="B449" s="44" t="s">
        <v>1140</v>
      </c>
      <c r="C449" s="7" t="s">
        <v>200</v>
      </c>
      <c r="D449" s="49">
        <v>0.61599999999999999</v>
      </c>
    </row>
    <row r="450" spans="1:4" x14ac:dyDescent="0.3">
      <c r="A450" s="45" t="s">
        <v>1141</v>
      </c>
      <c r="B450" s="44" t="s">
        <v>1142</v>
      </c>
      <c r="C450" s="7" t="s">
        <v>1143</v>
      </c>
      <c r="D450" s="49">
        <v>103.7</v>
      </c>
    </row>
    <row r="451" spans="1:4" ht="27" x14ac:dyDescent="0.3">
      <c r="A451" s="45" t="s">
        <v>1144</v>
      </c>
      <c r="B451" s="44" t="s">
        <v>1145</v>
      </c>
      <c r="C451" s="7" t="s">
        <v>199</v>
      </c>
      <c r="D451" s="49">
        <v>2.931</v>
      </c>
    </row>
    <row r="452" spans="1:4" ht="27" x14ac:dyDescent="0.3">
      <c r="A452" s="45" t="s">
        <v>1146</v>
      </c>
      <c r="B452" s="44" t="s">
        <v>1147</v>
      </c>
      <c r="C452" s="7" t="s">
        <v>198</v>
      </c>
      <c r="D452" s="49">
        <v>28.669</v>
      </c>
    </row>
    <row r="453" spans="1:4" x14ac:dyDescent="0.3">
      <c r="A453" s="45" t="s">
        <v>1148</v>
      </c>
      <c r="B453" s="44" t="s">
        <v>1149</v>
      </c>
      <c r="C453" s="7" t="s">
        <v>1150</v>
      </c>
      <c r="D453" s="49">
        <v>418.32400000000001</v>
      </c>
    </row>
    <row r="454" spans="1:4" ht="27" x14ac:dyDescent="0.3">
      <c r="A454" s="45" t="s">
        <v>1151</v>
      </c>
      <c r="B454" s="44" t="s">
        <v>1152</v>
      </c>
      <c r="C454" s="7" t="s">
        <v>199</v>
      </c>
      <c r="D454" s="49">
        <v>78.492999999999995</v>
      </c>
    </row>
    <row r="455" spans="1:4" ht="27" x14ac:dyDescent="0.3">
      <c r="A455" s="45" t="s">
        <v>1153</v>
      </c>
      <c r="B455" s="44" t="s">
        <v>1154</v>
      </c>
      <c r="C455" s="7" t="s">
        <v>199</v>
      </c>
      <c r="D455" s="49">
        <v>85.091999999999999</v>
      </c>
    </row>
    <row r="456" spans="1:4" x14ac:dyDescent="0.3">
      <c r="A456" s="45" t="s">
        <v>1155</v>
      </c>
      <c r="B456" s="44" t="s">
        <v>1156</v>
      </c>
      <c r="C456" s="7" t="s">
        <v>198</v>
      </c>
      <c r="D456" s="49">
        <v>1.0920000000000001</v>
      </c>
    </row>
    <row r="457" spans="1:4" x14ac:dyDescent="0.3">
      <c r="A457" s="45" t="s">
        <v>1157</v>
      </c>
      <c r="B457" s="44" t="s">
        <v>1158</v>
      </c>
      <c r="C457" s="7" t="s">
        <v>198</v>
      </c>
      <c r="D457" s="49">
        <v>57.878999999999998</v>
      </c>
    </row>
    <row r="458" spans="1:4" ht="27" x14ac:dyDescent="0.3">
      <c r="A458" s="45" t="s">
        <v>1159</v>
      </c>
      <c r="B458" s="44" t="s">
        <v>1160</v>
      </c>
      <c r="C458" s="7" t="s">
        <v>198</v>
      </c>
      <c r="D458" s="49">
        <v>2.8149999999999999</v>
      </c>
    </row>
    <row r="459" spans="1:4" ht="27" x14ac:dyDescent="0.3">
      <c r="A459" s="46" t="s">
        <v>1161</v>
      </c>
      <c r="B459" s="44" t="s">
        <v>1162</v>
      </c>
      <c r="C459" s="10" t="s">
        <v>199</v>
      </c>
      <c r="D459" s="49">
        <v>42.393000000000001</v>
      </c>
    </row>
    <row r="460" spans="1:4" x14ac:dyDescent="0.3">
      <c r="A460" s="45" t="s">
        <v>1163</v>
      </c>
      <c r="B460" s="44" t="s">
        <v>1164</v>
      </c>
      <c r="C460" s="7" t="s">
        <v>198</v>
      </c>
      <c r="D460" s="49">
        <v>25.225000000000001</v>
      </c>
    </row>
    <row r="461" spans="1:4" x14ac:dyDescent="0.3">
      <c r="A461" s="45" t="s">
        <v>1165</v>
      </c>
      <c r="B461" s="44" t="s">
        <v>1166</v>
      </c>
      <c r="C461" s="7" t="s">
        <v>198</v>
      </c>
      <c r="D461" s="49">
        <v>20.436</v>
      </c>
    </row>
    <row r="462" spans="1:4" ht="27" x14ac:dyDescent="0.3">
      <c r="A462" s="45" t="s">
        <v>1167</v>
      </c>
      <c r="B462" s="44" t="s">
        <v>1168</v>
      </c>
      <c r="C462" s="7" t="s">
        <v>199</v>
      </c>
      <c r="D462" s="49">
        <v>78.399000000000001</v>
      </c>
    </row>
    <row r="463" spans="1:4" ht="40.200000000000003" x14ac:dyDescent="0.3">
      <c r="A463" s="45" t="s">
        <v>1169</v>
      </c>
      <c r="B463" s="44" t="s">
        <v>1170</v>
      </c>
      <c r="C463" s="7" t="s">
        <v>198</v>
      </c>
      <c r="D463" s="49">
        <v>22.207000000000001</v>
      </c>
    </row>
    <row r="464" spans="1:4" ht="27" x14ac:dyDescent="0.3">
      <c r="A464" s="45" t="s">
        <v>1171</v>
      </c>
      <c r="B464" s="44" t="s">
        <v>1172</v>
      </c>
      <c r="C464" s="7" t="s">
        <v>452</v>
      </c>
      <c r="D464" s="49">
        <v>117.76</v>
      </c>
    </row>
    <row r="465" spans="1:4" ht="27" x14ac:dyDescent="0.3">
      <c r="A465" s="45" t="s">
        <v>1173</v>
      </c>
      <c r="B465" s="44" t="s">
        <v>1174</v>
      </c>
      <c r="C465" s="7" t="s">
        <v>1175</v>
      </c>
      <c r="D465" s="49">
        <v>27.129000000000001</v>
      </c>
    </row>
    <row r="466" spans="1:4" x14ac:dyDescent="0.3">
      <c r="A466" s="45" t="s">
        <v>1176</v>
      </c>
      <c r="B466" s="44" t="s">
        <v>1177</v>
      </c>
      <c r="C466" s="7" t="s">
        <v>273</v>
      </c>
      <c r="D466" s="49">
        <v>44.987000000000002</v>
      </c>
    </row>
    <row r="467" spans="1:4" ht="27" x14ac:dyDescent="0.3">
      <c r="A467" s="45" t="s">
        <v>1178</v>
      </c>
      <c r="B467" s="44" t="s">
        <v>1179</v>
      </c>
      <c r="C467" s="7" t="s">
        <v>198</v>
      </c>
      <c r="D467" s="49">
        <v>175.86099999999999</v>
      </c>
    </row>
    <row r="468" spans="1:4" x14ac:dyDescent="0.3">
      <c r="A468" s="45" t="s">
        <v>1180</v>
      </c>
      <c r="B468" s="44" t="s">
        <v>1181</v>
      </c>
      <c r="C468" s="7" t="s">
        <v>198</v>
      </c>
      <c r="D468" s="49">
        <v>181.47300000000001</v>
      </c>
    </row>
    <row r="469" spans="1:4" ht="27" x14ac:dyDescent="0.3">
      <c r="A469" s="46" t="s">
        <v>1182</v>
      </c>
      <c r="B469" s="44" t="s">
        <v>1183</v>
      </c>
      <c r="C469" s="10" t="s">
        <v>273</v>
      </c>
      <c r="D469" s="49">
        <v>24.167000000000002</v>
      </c>
    </row>
    <row r="470" spans="1:4" x14ac:dyDescent="0.3">
      <c r="A470" s="45" t="s">
        <v>1184</v>
      </c>
      <c r="B470" s="44" t="s">
        <v>1185</v>
      </c>
      <c r="C470" s="7" t="s">
        <v>209</v>
      </c>
      <c r="D470" s="49">
        <v>2.8570000000000002</v>
      </c>
    </row>
    <row r="471" spans="1:4" ht="27" x14ac:dyDescent="0.3">
      <c r="A471" s="46" t="s">
        <v>1186</v>
      </c>
      <c r="B471" s="44" t="s">
        <v>1187</v>
      </c>
      <c r="C471" s="10" t="s">
        <v>198</v>
      </c>
      <c r="D471" s="49">
        <v>38.972000000000001</v>
      </c>
    </row>
    <row r="472" spans="1:4" x14ac:dyDescent="0.3">
      <c r="A472" s="45" t="s">
        <v>1188</v>
      </c>
      <c r="B472" s="44" t="s">
        <v>1189</v>
      </c>
      <c r="C472" s="7" t="s">
        <v>257</v>
      </c>
      <c r="D472" s="49">
        <v>1973.692</v>
      </c>
    </row>
    <row r="473" spans="1:4" x14ac:dyDescent="0.3">
      <c r="A473" s="45" t="s">
        <v>1190</v>
      </c>
      <c r="B473" s="44" t="s">
        <v>1191</v>
      </c>
      <c r="C473" s="7" t="s">
        <v>199</v>
      </c>
      <c r="D473" s="49">
        <v>64.712999999999994</v>
      </c>
    </row>
    <row r="474" spans="1:4" ht="27" x14ac:dyDescent="0.3">
      <c r="A474" s="45" t="s">
        <v>1192</v>
      </c>
      <c r="B474" s="44" t="s">
        <v>1193</v>
      </c>
      <c r="C474" s="7" t="s">
        <v>199</v>
      </c>
      <c r="D474" s="49">
        <v>1.845</v>
      </c>
    </row>
    <row r="475" spans="1:4" ht="27" x14ac:dyDescent="0.3">
      <c r="A475" s="45" t="s">
        <v>1194</v>
      </c>
      <c r="B475" s="44" t="s">
        <v>1195</v>
      </c>
      <c r="C475" s="7" t="s">
        <v>198</v>
      </c>
      <c r="D475" s="49">
        <v>20.652000000000001</v>
      </c>
    </row>
    <row r="476" spans="1:4" ht="27" x14ac:dyDescent="0.3">
      <c r="A476" s="45" t="s">
        <v>1196</v>
      </c>
      <c r="B476" s="44" t="s">
        <v>1197</v>
      </c>
      <c r="C476" s="7" t="s">
        <v>257</v>
      </c>
      <c r="D476" s="49">
        <v>34.566000000000003</v>
      </c>
    </row>
    <row r="477" spans="1:4" ht="27" x14ac:dyDescent="0.3">
      <c r="A477" s="45" t="s">
        <v>1198</v>
      </c>
      <c r="B477" s="44" t="s">
        <v>1199</v>
      </c>
      <c r="C477" s="7" t="s">
        <v>257</v>
      </c>
      <c r="D477" s="49">
        <v>0.70799999999999996</v>
      </c>
    </row>
    <row r="478" spans="1:4" ht="27" x14ac:dyDescent="0.3">
      <c r="A478" s="45" t="s">
        <v>1592</v>
      </c>
      <c r="B478" s="44" t="s">
        <v>1593</v>
      </c>
      <c r="C478" s="7" t="s">
        <v>198</v>
      </c>
      <c r="D478" s="49">
        <v>27.413</v>
      </c>
    </row>
    <row r="479" spans="1:4" ht="27" x14ac:dyDescent="0.3">
      <c r="A479" s="45" t="s">
        <v>1200</v>
      </c>
      <c r="B479" s="44" t="s">
        <v>1201</v>
      </c>
      <c r="C479" s="7" t="s">
        <v>396</v>
      </c>
      <c r="D479" s="49">
        <v>1101.7329999999999</v>
      </c>
    </row>
    <row r="480" spans="1:4" ht="27" x14ac:dyDescent="0.3">
      <c r="A480" s="45" t="s">
        <v>1202</v>
      </c>
      <c r="B480" s="44" t="s">
        <v>1203</v>
      </c>
      <c r="C480" s="7" t="s">
        <v>257</v>
      </c>
      <c r="D480" s="49">
        <v>4.274</v>
      </c>
    </row>
    <row r="481" spans="1:4" ht="27" x14ac:dyDescent="0.3">
      <c r="A481" s="45" t="s">
        <v>1204</v>
      </c>
      <c r="B481" s="44" t="s">
        <v>1205</v>
      </c>
      <c r="C481" s="7" t="s">
        <v>199</v>
      </c>
      <c r="D481" s="49">
        <v>56.063000000000002</v>
      </c>
    </row>
    <row r="482" spans="1:4" ht="27" x14ac:dyDescent="0.3">
      <c r="A482" s="45" t="s">
        <v>1206</v>
      </c>
      <c r="B482" s="44" t="s">
        <v>1207</v>
      </c>
      <c r="C482" s="7" t="s">
        <v>199</v>
      </c>
      <c r="D482" s="49">
        <v>46.106999999999999</v>
      </c>
    </row>
    <row r="483" spans="1:4" ht="27" x14ac:dyDescent="0.3">
      <c r="A483" s="46" t="s">
        <v>1208</v>
      </c>
      <c r="B483" s="44" t="s">
        <v>1209</v>
      </c>
      <c r="C483" s="10" t="s">
        <v>1210</v>
      </c>
      <c r="D483" s="49">
        <v>198.07499999999999</v>
      </c>
    </row>
    <row r="484" spans="1:4" x14ac:dyDescent="0.3">
      <c r="A484" s="48" t="s">
        <v>1211</v>
      </c>
      <c r="B484" s="44" t="s">
        <v>1212</v>
      </c>
      <c r="C484" s="7" t="s">
        <v>198</v>
      </c>
      <c r="D484" s="49">
        <v>3.9710000000000001</v>
      </c>
    </row>
    <row r="485" spans="1:4" x14ac:dyDescent="0.3">
      <c r="A485" s="45" t="s">
        <v>192</v>
      </c>
      <c r="B485" s="44" t="s">
        <v>1213</v>
      </c>
      <c r="C485" s="7" t="s">
        <v>198</v>
      </c>
      <c r="D485" s="49">
        <v>0.86799999999999999</v>
      </c>
    </row>
    <row r="486" spans="1:4" ht="27" x14ac:dyDescent="0.3">
      <c r="A486" s="45" t="s">
        <v>1214</v>
      </c>
      <c r="B486" s="44" t="s">
        <v>1215</v>
      </c>
      <c r="C486" s="7" t="s">
        <v>199</v>
      </c>
      <c r="D486" s="49">
        <v>76.179000000000002</v>
      </c>
    </row>
    <row r="487" spans="1:4" ht="27" x14ac:dyDescent="0.3">
      <c r="A487" s="45" t="s">
        <v>1216</v>
      </c>
      <c r="B487" s="44" t="s">
        <v>1217</v>
      </c>
      <c r="C487" s="7" t="s">
        <v>198</v>
      </c>
      <c r="D487" s="49">
        <v>6.6710000000000003</v>
      </c>
    </row>
    <row r="488" spans="1:4" ht="27" x14ac:dyDescent="0.3">
      <c r="A488" s="45" t="s">
        <v>1631</v>
      </c>
      <c r="B488" s="44" t="s">
        <v>1632</v>
      </c>
      <c r="C488" s="7" t="s">
        <v>458</v>
      </c>
      <c r="D488" s="49">
        <v>27.957999999999998</v>
      </c>
    </row>
    <row r="489" spans="1:4" ht="27" x14ac:dyDescent="0.3">
      <c r="A489" s="45" t="s">
        <v>195</v>
      </c>
      <c r="B489" s="44" t="s">
        <v>1218</v>
      </c>
      <c r="C489" s="7" t="s">
        <v>688</v>
      </c>
      <c r="D489" s="49">
        <v>1.53</v>
      </c>
    </row>
    <row r="490" spans="1:4" ht="27" x14ac:dyDescent="0.3">
      <c r="A490" s="45" t="s">
        <v>1219</v>
      </c>
      <c r="B490" s="44" t="s">
        <v>1220</v>
      </c>
      <c r="C490" s="7" t="s">
        <v>273</v>
      </c>
      <c r="D490" s="49">
        <v>117.422</v>
      </c>
    </row>
    <row r="491" spans="1:4" x14ac:dyDescent="0.3">
      <c r="A491" s="45" t="s">
        <v>1221</v>
      </c>
      <c r="B491" s="44" t="s">
        <v>1222</v>
      </c>
      <c r="C491" s="7" t="s">
        <v>199</v>
      </c>
      <c r="D491" s="49">
        <v>0.60199999999999998</v>
      </c>
    </row>
    <row r="492" spans="1:4" ht="27" x14ac:dyDescent="0.3">
      <c r="A492" s="45" t="s">
        <v>1223</v>
      </c>
      <c r="B492" s="44" t="s">
        <v>1224</v>
      </c>
      <c r="C492" s="7" t="s">
        <v>209</v>
      </c>
      <c r="D492" s="49">
        <v>50.743000000000002</v>
      </c>
    </row>
    <row r="493" spans="1:4" x14ac:dyDescent="0.3">
      <c r="A493" s="45" t="s">
        <v>1225</v>
      </c>
      <c r="B493" s="44" t="s">
        <v>1226</v>
      </c>
      <c r="C493" s="7" t="s">
        <v>284</v>
      </c>
      <c r="D493" s="49">
        <v>1.5880000000000001</v>
      </c>
    </row>
    <row r="494" spans="1:4" x14ac:dyDescent="0.3">
      <c r="A494" s="45" t="s">
        <v>1227</v>
      </c>
      <c r="B494" s="44" t="s">
        <v>1228</v>
      </c>
      <c r="C494" s="7" t="s">
        <v>284</v>
      </c>
      <c r="D494" s="49">
        <v>76.39</v>
      </c>
    </row>
    <row r="495" spans="1:4" ht="27" x14ac:dyDescent="0.3">
      <c r="A495" s="45" t="s">
        <v>1229</v>
      </c>
      <c r="B495" s="44" t="s">
        <v>1594</v>
      </c>
      <c r="C495" s="7" t="s">
        <v>442</v>
      </c>
      <c r="D495" s="49">
        <v>3.8780000000000001</v>
      </c>
    </row>
    <row r="496" spans="1:4" ht="27" x14ac:dyDescent="0.3">
      <c r="A496" s="45" t="s">
        <v>1231</v>
      </c>
      <c r="B496" s="44" t="s">
        <v>1232</v>
      </c>
      <c r="C496" s="7" t="s">
        <v>1233</v>
      </c>
      <c r="D496" s="49">
        <v>504.29599999999999</v>
      </c>
    </row>
    <row r="497" spans="1:4" ht="27" x14ac:dyDescent="0.3">
      <c r="A497" s="45" t="s">
        <v>1529</v>
      </c>
      <c r="B497" s="44" t="s">
        <v>1595</v>
      </c>
      <c r="C497" s="7" t="s">
        <v>273</v>
      </c>
      <c r="D497" s="49">
        <v>204.989</v>
      </c>
    </row>
    <row r="498" spans="1:4" ht="27" x14ac:dyDescent="0.3">
      <c r="A498" s="45" t="s">
        <v>1596</v>
      </c>
      <c r="B498" s="44" t="s">
        <v>1597</v>
      </c>
      <c r="C498" s="7" t="s">
        <v>198</v>
      </c>
      <c r="D498" s="49">
        <v>203.23</v>
      </c>
    </row>
    <row r="499" spans="1:4" ht="27" x14ac:dyDescent="0.3">
      <c r="A499" s="45" t="s">
        <v>1234</v>
      </c>
      <c r="B499" s="44" t="s">
        <v>1235</v>
      </c>
      <c r="C499" s="7" t="s">
        <v>198</v>
      </c>
      <c r="D499" s="49">
        <v>54.223999999999997</v>
      </c>
    </row>
    <row r="500" spans="1:4" x14ac:dyDescent="0.3">
      <c r="A500" s="45" t="s">
        <v>1236</v>
      </c>
      <c r="B500" s="44" t="s">
        <v>1237</v>
      </c>
      <c r="C500" s="7" t="s">
        <v>311</v>
      </c>
      <c r="D500" s="49">
        <v>2.754</v>
      </c>
    </row>
    <row r="501" spans="1:4" x14ac:dyDescent="0.3">
      <c r="A501" s="45" t="s">
        <v>1238</v>
      </c>
      <c r="B501" s="44" t="s">
        <v>1239</v>
      </c>
      <c r="C501" s="7" t="s">
        <v>198</v>
      </c>
      <c r="D501" s="49">
        <v>99.85</v>
      </c>
    </row>
    <row r="502" spans="1:4" x14ac:dyDescent="0.3">
      <c r="A502" s="45" t="s">
        <v>1240</v>
      </c>
      <c r="B502" s="44" t="s">
        <v>1241</v>
      </c>
      <c r="C502" s="7" t="s">
        <v>405</v>
      </c>
      <c r="D502" s="49">
        <v>26.251000000000001</v>
      </c>
    </row>
    <row r="503" spans="1:4" x14ac:dyDescent="0.3">
      <c r="A503" s="45" t="s">
        <v>1242</v>
      </c>
      <c r="B503" s="44" t="s">
        <v>1243</v>
      </c>
      <c r="C503" s="7" t="s">
        <v>442</v>
      </c>
      <c r="D503" s="49">
        <v>0.61099999999999999</v>
      </c>
    </row>
    <row r="504" spans="1:4" ht="27" x14ac:dyDescent="0.3">
      <c r="A504" s="45" t="s">
        <v>1244</v>
      </c>
      <c r="B504" s="44" t="s">
        <v>1245</v>
      </c>
      <c r="C504" s="7" t="s">
        <v>200</v>
      </c>
      <c r="D504" s="49">
        <v>36.445999999999998</v>
      </c>
    </row>
    <row r="505" spans="1:4" x14ac:dyDescent="0.3">
      <c r="A505" s="45" t="s">
        <v>1246</v>
      </c>
      <c r="B505" s="44" t="s">
        <v>1247</v>
      </c>
      <c r="C505" s="7" t="s">
        <v>1248</v>
      </c>
      <c r="D505" s="49">
        <v>34.448</v>
      </c>
    </row>
    <row r="506" spans="1:4" ht="27" x14ac:dyDescent="0.3">
      <c r="A506" s="45" t="s">
        <v>1249</v>
      </c>
      <c r="B506" s="44" t="s">
        <v>1250</v>
      </c>
      <c r="C506" s="7" t="s">
        <v>1251</v>
      </c>
      <c r="D506" s="49">
        <v>205.886</v>
      </c>
    </row>
    <row r="507" spans="1:4" ht="27" x14ac:dyDescent="0.3">
      <c r="A507" s="45" t="s">
        <v>1252</v>
      </c>
      <c r="B507" s="44" t="s">
        <v>1253</v>
      </c>
      <c r="C507" s="7" t="s">
        <v>198</v>
      </c>
      <c r="D507" s="49">
        <v>15.442</v>
      </c>
    </row>
    <row r="508" spans="1:4" x14ac:dyDescent="0.3">
      <c r="A508" s="45" t="s">
        <v>1254</v>
      </c>
      <c r="B508" s="44" t="s">
        <v>1255</v>
      </c>
      <c r="C508" s="7" t="s">
        <v>209</v>
      </c>
      <c r="D508" s="49">
        <v>4350.0209999999997</v>
      </c>
    </row>
    <row r="509" spans="1:4" x14ac:dyDescent="0.3">
      <c r="A509" s="45" t="s">
        <v>1256</v>
      </c>
      <c r="B509" s="44" t="s">
        <v>1257</v>
      </c>
      <c r="C509" s="7" t="s">
        <v>209</v>
      </c>
      <c r="D509" s="49">
        <v>38414.970999999998</v>
      </c>
    </row>
    <row r="510" spans="1:4" x14ac:dyDescent="0.3">
      <c r="A510" s="45" t="s">
        <v>1258</v>
      </c>
      <c r="B510" s="44" t="s">
        <v>1259</v>
      </c>
      <c r="C510" s="7" t="s">
        <v>198</v>
      </c>
      <c r="D510" s="49">
        <v>157.292</v>
      </c>
    </row>
    <row r="511" spans="1:4" ht="27" x14ac:dyDescent="0.3">
      <c r="A511" s="45" t="s">
        <v>1598</v>
      </c>
      <c r="B511" s="44" t="s">
        <v>1599</v>
      </c>
      <c r="C511" s="17" t="s">
        <v>273</v>
      </c>
      <c r="D511" s="49">
        <v>2337.87</v>
      </c>
    </row>
    <row r="512" spans="1:4" ht="27" x14ac:dyDescent="0.3">
      <c r="A512" s="45" t="s">
        <v>1260</v>
      </c>
      <c r="B512" s="44" t="s">
        <v>1261</v>
      </c>
      <c r="C512" s="7" t="s">
        <v>209</v>
      </c>
      <c r="D512" s="49">
        <v>182.78800000000001</v>
      </c>
    </row>
    <row r="513" spans="1:4" ht="27" x14ac:dyDescent="0.3">
      <c r="A513" s="45" t="s">
        <v>193</v>
      </c>
      <c r="B513" s="44" t="s">
        <v>1262</v>
      </c>
      <c r="C513" s="7" t="s">
        <v>200</v>
      </c>
      <c r="D513" s="49">
        <v>0.21299999999999999</v>
      </c>
    </row>
    <row r="514" spans="1:4" ht="27" x14ac:dyDescent="0.3">
      <c r="A514" s="45" t="s">
        <v>1263</v>
      </c>
      <c r="B514" s="44" t="s">
        <v>1262</v>
      </c>
      <c r="C514" s="7" t="s">
        <v>209</v>
      </c>
      <c r="D514" s="49">
        <v>2.133</v>
      </c>
    </row>
    <row r="515" spans="1:4" x14ac:dyDescent="0.3">
      <c r="A515" s="45" t="s">
        <v>1264</v>
      </c>
      <c r="B515" s="44" t="s">
        <v>1265</v>
      </c>
      <c r="C515" s="7" t="s">
        <v>209</v>
      </c>
      <c r="D515" s="49">
        <v>152.387</v>
      </c>
    </row>
    <row r="516" spans="1:4" ht="27" x14ac:dyDescent="0.3">
      <c r="A516" s="45" t="s">
        <v>1266</v>
      </c>
      <c r="B516" s="44" t="s">
        <v>1267</v>
      </c>
      <c r="C516" s="7" t="s">
        <v>318</v>
      </c>
      <c r="D516" s="49">
        <v>3.3119999999999998</v>
      </c>
    </row>
    <row r="517" spans="1:4" x14ac:dyDescent="0.3">
      <c r="A517" s="45" t="s">
        <v>1268</v>
      </c>
      <c r="B517" s="44" t="s">
        <v>1269</v>
      </c>
      <c r="C517" s="7" t="s">
        <v>396</v>
      </c>
      <c r="D517" s="49">
        <v>0.14899999999999999</v>
      </c>
    </row>
    <row r="518" spans="1:4" ht="27" x14ac:dyDescent="0.3">
      <c r="A518" s="45" t="s">
        <v>1270</v>
      </c>
      <c r="B518" s="44" t="s">
        <v>1271</v>
      </c>
      <c r="C518" s="7" t="s">
        <v>198</v>
      </c>
      <c r="D518" s="49">
        <v>13.269</v>
      </c>
    </row>
    <row r="519" spans="1:4" ht="27" x14ac:dyDescent="0.3">
      <c r="A519" s="45" t="s">
        <v>1272</v>
      </c>
      <c r="B519" s="44" t="s">
        <v>1273</v>
      </c>
      <c r="C519" s="7" t="s">
        <v>1274</v>
      </c>
      <c r="D519" s="49">
        <v>19334.771000000001</v>
      </c>
    </row>
    <row r="520" spans="1:4" x14ac:dyDescent="0.3">
      <c r="A520" s="45" t="s">
        <v>1275</v>
      </c>
      <c r="B520" s="44" t="s">
        <v>1276</v>
      </c>
      <c r="C520" s="7" t="s">
        <v>198</v>
      </c>
      <c r="D520" s="49">
        <v>0.161</v>
      </c>
    </row>
    <row r="521" spans="1:4" x14ac:dyDescent="0.3">
      <c r="A521" s="45" t="s">
        <v>1277</v>
      </c>
      <c r="B521" s="44" t="s">
        <v>1278</v>
      </c>
      <c r="C521" s="7" t="s">
        <v>199</v>
      </c>
      <c r="D521" s="49">
        <v>2069.8090000000002</v>
      </c>
    </row>
    <row r="522" spans="1:4" x14ac:dyDescent="0.3">
      <c r="A522" s="46" t="s">
        <v>1279</v>
      </c>
      <c r="B522" s="44" t="s">
        <v>1280</v>
      </c>
      <c r="C522" s="10" t="s">
        <v>198</v>
      </c>
      <c r="D522" s="49">
        <v>50.927</v>
      </c>
    </row>
    <row r="523" spans="1:4" x14ac:dyDescent="0.3">
      <c r="A523" s="45" t="s">
        <v>1281</v>
      </c>
      <c r="B523" s="44" t="s">
        <v>1282</v>
      </c>
      <c r="C523" s="7" t="s">
        <v>200</v>
      </c>
      <c r="D523" s="49">
        <v>57.212000000000003</v>
      </c>
    </row>
    <row r="524" spans="1:4" ht="27" x14ac:dyDescent="0.3">
      <c r="A524" s="45" t="s">
        <v>1283</v>
      </c>
      <c r="B524" s="44" t="s">
        <v>1284</v>
      </c>
      <c r="C524" s="7" t="s">
        <v>199</v>
      </c>
      <c r="D524" s="49">
        <v>52.067</v>
      </c>
    </row>
    <row r="525" spans="1:4" ht="27" x14ac:dyDescent="0.3">
      <c r="A525" s="45" t="s">
        <v>1285</v>
      </c>
      <c r="B525" s="44" t="s">
        <v>1286</v>
      </c>
      <c r="C525" s="7" t="s">
        <v>200</v>
      </c>
      <c r="D525" s="49">
        <v>29.75</v>
      </c>
    </row>
    <row r="526" spans="1:4" ht="27" x14ac:dyDescent="0.3">
      <c r="A526" s="45" t="s">
        <v>1287</v>
      </c>
      <c r="B526" s="44" t="s">
        <v>1288</v>
      </c>
      <c r="C526" s="10" t="s">
        <v>198</v>
      </c>
      <c r="D526" s="49">
        <v>5.7320000000000002</v>
      </c>
    </row>
    <row r="527" spans="1:4" x14ac:dyDescent="0.3">
      <c r="A527" s="46" t="s">
        <v>1289</v>
      </c>
      <c r="B527" s="44" t="s">
        <v>1290</v>
      </c>
      <c r="C527" s="10" t="s">
        <v>198</v>
      </c>
      <c r="D527" s="49">
        <v>28.533999999999999</v>
      </c>
    </row>
    <row r="528" spans="1:4" x14ac:dyDescent="0.3">
      <c r="A528" s="45" t="s">
        <v>1291</v>
      </c>
      <c r="B528" s="44" t="s">
        <v>1292</v>
      </c>
      <c r="C528" s="7" t="s">
        <v>199</v>
      </c>
      <c r="D528" s="49">
        <v>64.191999999999993</v>
      </c>
    </row>
    <row r="529" spans="1:4" ht="27" x14ac:dyDescent="0.3">
      <c r="A529" s="45" t="s">
        <v>1293</v>
      </c>
      <c r="B529" s="44" t="s">
        <v>1294</v>
      </c>
      <c r="C529" s="7" t="s">
        <v>199</v>
      </c>
      <c r="D529" s="49">
        <v>61.844000000000001</v>
      </c>
    </row>
    <row r="530" spans="1:4" ht="27" x14ac:dyDescent="0.3">
      <c r="A530" s="45" t="s">
        <v>1295</v>
      </c>
      <c r="B530" s="44" t="s">
        <v>1296</v>
      </c>
      <c r="C530" s="7" t="s">
        <v>199</v>
      </c>
      <c r="D530" s="49">
        <v>122.801</v>
      </c>
    </row>
    <row r="531" spans="1:4" x14ac:dyDescent="0.3">
      <c r="A531" s="45" t="s">
        <v>1297</v>
      </c>
      <c r="B531" s="44" t="s">
        <v>1298</v>
      </c>
      <c r="C531" s="7" t="s">
        <v>199</v>
      </c>
      <c r="D531" s="49">
        <v>72.405000000000001</v>
      </c>
    </row>
    <row r="532" spans="1:4" ht="27" x14ac:dyDescent="0.3">
      <c r="A532" s="46" t="s">
        <v>1299</v>
      </c>
      <c r="B532" s="44" t="s">
        <v>1300</v>
      </c>
      <c r="C532" s="10" t="s">
        <v>198</v>
      </c>
      <c r="D532" s="49">
        <v>12.942</v>
      </c>
    </row>
    <row r="533" spans="1:4" x14ac:dyDescent="0.3">
      <c r="A533" s="45" t="s">
        <v>1301</v>
      </c>
      <c r="B533" s="44" t="s">
        <v>1302</v>
      </c>
      <c r="C533" s="7" t="s">
        <v>198</v>
      </c>
      <c r="D533" s="49">
        <v>305.66699999999997</v>
      </c>
    </row>
    <row r="534" spans="1:4" ht="27" x14ac:dyDescent="0.3">
      <c r="A534" s="46" t="s">
        <v>1303</v>
      </c>
      <c r="B534" s="44" t="s">
        <v>1304</v>
      </c>
      <c r="C534" s="10" t="s">
        <v>200</v>
      </c>
      <c r="D534" s="49">
        <v>61.063000000000002</v>
      </c>
    </row>
    <row r="535" spans="1:4" ht="27" x14ac:dyDescent="0.3">
      <c r="A535" s="45" t="s">
        <v>1600</v>
      </c>
      <c r="B535" s="44" t="s">
        <v>1601</v>
      </c>
      <c r="C535" s="7" t="s">
        <v>198</v>
      </c>
      <c r="D535" s="49">
        <v>111.301</v>
      </c>
    </row>
    <row r="536" spans="1:4" ht="27" x14ac:dyDescent="0.3">
      <c r="A536" s="46" t="s">
        <v>1305</v>
      </c>
      <c r="B536" s="44" t="s">
        <v>1306</v>
      </c>
      <c r="C536" s="10" t="s">
        <v>1307</v>
      </c>
      <c r="D536" s="49">
        <v>41.777999999999999</v>
      </c>
    </row>
    <row r="537" spans="1:4" x14ac:dyDescent="0.3">
      <c r="A537" s="45" t="s">
        <v>1308</v>
      </c>
      <c r="B537" s="44" t="s">
        <v>1309</v>
      </c>
      <c r="C537" s="7" t="s">
        <v>199</v>
      </c>
      <c r="D537" s="49">
        <v>93.366</v>
      </c>
    </row>
    <row r="538" spans="1:4" x14ac:dyDescent="0.3">
      <c r="A538" s="45" t="s">
        <v>1310</v>
      </c>
      <c r="B538" s="44" t="s">
        <v>1311</v>
      </c>
      <c r="C538" s="7" t="s">
        <v>198</v>
      </c>
      <c r="D538" s="49">
        <v>330.03500000000003</v>
      </c>
    </row>
    <row r="539" spans="1:4" ht="27" x14ac:dyDescent="0.3">
      <c r="A539" s="45" t="s">
        <v>1312</v>
      </c>
      <c r="B539" s="44" t="s">
        <v>1313</v>
      </c>
      <c r="C539" s="7" t="s">
        <v>405</v>
      </c>
      <c r="D539" s="49">
        <v>353.01299999999998</v>
      </c>
    </row>
    <row r="540" spans="1:4" ht="27" x14ac:dyDescent="0.3">
      <c r="A540" s="45" t="s">
        <v>1314</v>
      </c>
      <c r="B540" s="44" t="s">
        <v>1315</v>
      </c>
      <c r="C540" s="7" t="s">
        <v>1316</v>
      </c>
      <c r="D540" s="49">
        <v>53.514000000000003</v>
      </c>
    </row>
    <row r="541" spans="1:4" ht="27" x14ac:dyDescent="0.3">
      <c r="A541" s="45" t="s">
        <v>1317</v>
      </c>
      <c r="B541" s="44" t="s">
        <v>1318</v>
      </c>
      <c r="C541" s="7" t="s">
        <v>198</v>
      </c>
      <c r="D541" s="49">
        <v>10.391</v>
      </c>
    </row>
    <row r="542" spans="1:4" ht="27" x14ac:dyDescent="0.3">
      <c r="A542" s="45" t="s">
        <v>1319</v>
      </c>
      <c r="B542" s="44" t="s">
        <v>1320</v>
      </c>
      <c r="C542" s="7" t="s">
        <v>198</v>
      </c>
      <c r="D542" s="49">
        <v>44.514000000000003</v>
      </c>
    </row>
    <row r="543" spans="1:4" x14ac:dyDescent="0.3">
      <c r="A543" s="45" t="s">
        <v>1321</v>
      </c>
      <c r="B543" s="44" t="s">
        <v>1322</v>
      </c>
      <c r="C543" s="7" t="s">
        <v>659</v>
      </c>
      <c r="D543" s="49">
        <v>436.51299999999998</v>
      </c>
    </row>
    <row r="544" spans="1:4" x14ac:dyDescent="0.3">
      <c r="A544" s="45" t="s">
        <v>1323</v>
      </c>
      <c r="B544" s="44" t="s">
        <v>1324</v>
      </c>
      <c r="C544" s="7" t="s">
        <v>273</v>
      </c>
      <c r="D544" s="49">
        <v>1.2110000000000001</v>
      </c>
    </row>
    <row r="545" spans="1:4" ht="27" x14ac:dyDescent="0.3">
      <c r="A545" s="45" t="s">
        <v>1325</v>
      </c>
      <c r="B545" s="44" t="s">
        <v>1326</v>
      </c>
      <c r="C545" s="7" t="s">
        <v>273</v>
      </c>
      <c r="D545" s="49">
        <v>317.91500000000002</v>
      </c>
    </row>
    <row r="546" spans="1:4" ht="27" x14ac:dyDescent="0.3">
      <c r="A546" s="46" t="s">
        <v>1327</v>
      </c>
      <c r="B546" s="44" t="s">
        <v>1328</v>
      </c>
      <c r="C546" s="10" t="s">
        <v>198</v>
      </c>
      <c r="D546" s="49">
        <v>32.817999999999998</v>
      </c>
    </row>
    <row r="547" spans="1:4" ht="27" x14ac:dyDescent="0.3">
      <c r="A547" s="45" t="s">
        <v>1329</v>
      </c>
      <c r="B547" s="44" t="s">
        <v>1330</v>
      </c>
      <c r="C547" s="7" t="s">
        <v>199</v>
      </c>
      <c r="D547" s="49">
        <v>102.31699999999999</v>
      </c>
    </row>
    <row r="548" spans="1:4" ht="27" x14ac:dyDescent="0.3">
      <c r="A548" s="45" t="s">
        <v>1331</v>
      </c>
      <c r="B548" s="44" t="s">
        <v>1332</v>
      </c>
      <c r="C548" s="7" t="s">
        <v>199</v>
      </c>
      <c r="D548" s="49">
        <v>77.013000000000005</v>
      </c>
    </row>
    <row r="549" spans="1:4" x14ac:dyDescent="0.3">
      <c r="A549" s="45" t="s">
        <v>1333</v>
      </c>
      <c r="B549" s="44" t="s">
        <v>1334</v>
      </c>
      <c r="C549" s="7" t="s">
        <v>442</v>
      </c>
      <c r="D549" s="49">
        <v>1418.2719999999999</v>
      </c>
    </row>
    <row r="550" spans="1:4" ht="27" x14ac:dyDescent="0.3">
      <c r="A550" s="45" t="s">
        <v>1633</v>
      </c>
      <c r="B550" s="44" t="s">
        <v>1634</v>
      </c>
      <c r="C550" s="7" t="s">
        <v>198</v>
      </c>
      <c r="D550" s="49">
        <v>24.19</v>
      </c>
    </row>
    <row r="551" spans="1:4" x14ac:dyDescent="0.3">
      <c r="A551" s="45" t="s">
        <v>1335</v>
      </c>
      <c r="B551" s="44" t="s">
        <v>1336</v>
      </c>
      <c r="C551" s="7" t="s">
        <v>198</v>
      </c>
      <c r="D551" s="49">
        <v>3.9740000000000002</v>
      </c>
    </row>
    <row r="552" spans="1:4" ht="27" x14ac:dyDescent="0.3">
      <c r="A552" s="45" t="s">
        <v>1337</v>
      </c>
      <c r="B552" s="44" t="s">
        <v>1338</v>
      </c>
      <c r="C552" s="7" t="s">
        <v>198</v>
      </c>
      <c r="D552" s="49">
        <v>5.2679999999999998</v>
      </c>
    </row>
    <row r="553" spans="1:4" ht="27" x14ac:dyDescent="0.3">
      <c r="A553" s="45" t="s">
        <v>1339</v>
      </c>
      <c r="B553" s="44" t="s">
        <v>1340</v>
      </c>
      <c r="C553" s="7" t="s">
        <v>198</v>
      </c>
      <c r="D553" s="49">
        <v>3195.3449999999998</v>
      </c>
    </row>
    <row r="554" spans="1:4" ht="27" x14ac:dyDescent="0.3">
      <c r="A554" s="45" t="s">
        <v>1341</v>
      </c>
      <c r="B554" s="44" t="s">
        <v>1342</v>
      </c>
      <c r="C554" s="7" t="s">
        <v>199</v>
      </c>
      <c r="D554" s="49">
        <v>3.3740000000000001</v>
      </c>
    </row>
    <row r="555" spans="1:4" x14ac:dyDescent="0.3">
      <c r="A555" s="45" t="s">
        <v>1343</v>
      </c>
      <c r="B555" s="44" t="s">
        <v>1344</v>
      </c>
      <c r="C555" s="7" t="s">
        <v>553</v>
      </c>
      <c r="D555" s="49">
        <v>49.481000000000002</v>
      </c>
    </row>
    <row r="556" spans="1:4" ht="27" x14ac:dyDescent="0.3">
      <c r="A556" s="46" t="s">
        <v>1345</v>
      </c>
      <c r="B556" s="44" t="s">
        <v>1346</v>
      </c>
      <c r="C556" s="10" t="s">
        <v>198</v>
      </c>
      <c r="D556" s="49">
        <v>8.0820000000000007</v>
      </c>
    </row>
    <row r="557" spans="1:4" ht="27" x14ac:dyDescent="0.3">
      <c r="A557" s="45" t="s">
        <v>1347</v>
      </c>
      <c r="B557" s="44" t="s">
        <v>1348</v>
      </c>
      <c r="C557" s="7" t="s">
        <v>522</v>
      </c>
      <c r="D557" s="49">
        <v>10.49</v>
      </c>
    </row>
    <row r="558" spans="1:4" ht="27" x14ac:dyDescent="0.3">
      <c r="A558" s="45" t="s">
        <v>1349</v>
      </c>
      <c r="B558" s="44" t="s">
        <v>1350</v>
      </c>
      <c r="C558" s="7" t="s">
        <v>951</v>
      </c>
      <c r="D558" s="49">
        <v>52.45</v>
      </c>
    </row>
    <row r="559" spans="1:4" ht="27" x14ac:dyDescent="0.3">
      <c r="A559" s="45" t="s">
        <v>1351</v>
      </c>
      <c r="B559" s="44" t="s">
        <v>1352</v>
      </c>
      <c r="C559" s="7" t="s">
        <v>1353</v>
      </c>
      <c r="D559" s="49">
        <v>20.98</v>
      </c>
    </row>
    <row r="560" spans="1:4" ht="27" x14ac:dyDescent="0.3">
      <c r="A560" s="45" t="s">
        <v>1354</v>
      </c>
      <c r="B560" s="44" t="s">
        <v>1355</v>
      </c>
      <c r="C560" s="7" t="s">
        <v>522</v>
      </c>
      <c r="D560" s="49">
        <v>52.45</v>
      </c>
    </row>
    <row r="561" spans="1:4" ht="27" x14ac:dyDescent="0.3">
      <c r="A561" s="48" t="s">
        <v>1356</v>
      </c>
      <c r="B561" s="44" t="s">
        <v>1357</v>
      </c>
      <c r="C561" s="7" t="s">
        <v>198</v>
      </c>
      <c r="D561" s="49">
        <v>1.056</v>
      </c>
    </row>
    <row r="562" spans="1:4" ht="27" x14ac:dyDescent="0.3">
      <c r="A562" s="48" t="s">
        <v>1358</v>
      </c>
      <c r="B562" s="44" t="s">
        <v>1359</v>
      </c>
      <c r="C562" s="7" t="s">
        <v>198</v>
      </c>
      <c r="D562" s="49">
        <v>1.056</v>
      </c>
    </row>
    <row r="563" spans="1:4" x14ac:dyDescent="0.3">
      <c r="A563" s="45" t="s">
        <v>1360</v>
      </c>
      <c r="B563" s="44" t="s">
        <v>1361</v>
      </c>
      <c r="C563" s="7" t="s">
        <v>198</v>
      </c>
      <c r="D563" s="49">
        <v>1.7999999999999999E-2</v>
      </c>
    </row>
    <row r="564" spans="1:4" ht="27" x14ac:dyDescent="0.3">
      <c r="A564" s="45" t="s">
        <v>1364</v>
      </c>
      <c r="B564" s="44" t="s">
        <v>1365</v>
      </c>
      <c r="C564" s="7" t="s">
        <v>200</v>
      </c>
      <c r="D564" s="49">
        <v>0.22700000000000001</v>
      </c>
    </row>
    <row r="565" spans="1:4" ht="27" x14ac:dyDescent="0.3">
      <c r="A565" s="45" t="s">
        <v>1366</v>
      </c>
      <c r="B565" s="44" t="s">
        <v>1367</v>
      </c>
      <c r="C565" s="7" t="s">
        <v>198</v>
      </c>
      <c r="D565" s="49">
        <v>1.0349999999999999</v>
      </c>
    </row>
    <row r="566" spans="1:4" ht="27" x14ac:dyDescent="0.3">
      <c r="A566" s="45" t="s">
        <v>1368</v>
      </c>
      <c r="B566" s="44" t="s">
        <v>1369</v>
      </c>
      <c r="C566" s="7" t="s">
        <v>1134</v>
      </c>
      <c r="D566" s="49">
        <v>0.876</v>
      </c>
    </row>
    <row r="567" spans="1:4" ht="27" x14ac:dyDescent="0.3">
      <c r="A567" s="45" t="s">
        <v>1374</v>
      </c>
      <c r="B567" s="44" t="s">
        <v>1375</v>
      </c>
      <c r="C567" s="7" t="s">
        <v>1376</v>
      </c>
      <c r="D567" s="49">
        <v>47617.864999999998</v>
      </c>
    </row>
    <row r="568" spans="1:4" x14ac:dyDescent="0.3">
      <c r="A568" s="45" t="s">
        <v>191</v>
      </c>
      <c r="B568" s="44" t="s">
        <v>1377</v>
      </c>
      <c r="C568" s="7" t="s">
        <v>199</v>
      </c>
      <c r="D568" s="49">
        <v>317.70299999999997</v>
      </c>
    </row>
    <row r="569" spans="1:4" ht="27" x14ac:dyDescent="0.3">
      <c r="A569" s="45" t="s">
        <v>1378</v>
      </c>
      <c r="B569" s="44" t="s">
        <v>1379</v>
      </c>
      <c r="C569" s="7" t="s">
        <v>452</v>
      </c>
      <c r="D569" s="49">
        <v>54.012</v>
      </c>
    </row>
    <row r="570" spans="1:4" ht="27" x14ac:dyDescent="0.3">
      <c r="A570" s="45" t="s">
        <v>1380</v>
      </c>
      <c r="B570" s="44" t="s">
        <v>1381</v>
      </c>
      <c r="C570" s="13" t="s">
        <v>1382</v>
      </c>
      <c r="D570" s="49">
        <v>140.24199999999999</v>
      </c>
    </row>
    <row r="571" spans="1:4" ht="27" x14ac:dyDescent="0.3">
      <c r="A571" s="45" t="s">
        <v>1383</v>
      </c>
      <c r="B571" s="44" t="s">
        <v>1384</v>
      </c>
      <c r="C571" s="7" t="s">
        <v>360</v>
      </c>
      <c r="D571" s="49">
        <v>0.97</v>
      </c>
    </row>
    <row r="572" spans="1:4" x14ac:dyDescent="0.3">
      <c r="A572" s="45" t="s">
        <v>1385</v>
      </c>
      <c r="B572" s="44" t="s">
        <v>1386</v>
      </c>
      <c r="C572" s="7" t="s">
        <v>1042</v>
      </c>
      <c r="D572" s="49">
        <v>30.466000000000001</v>
      </c>
    </row>
    <row r="573" spans="1:4" x14ac:dyDescent="0.3">
      <c r="A573" s="45" t="s">
        <v>1387</v>
      </c>
      <c r="B573" s="44" t="s">
        <v>1388</v>
      </c>
      <c r="C573" s="7" t="s">
        <v>1042</v>
      </c>
      <c r="D573" s="49">
        <v>10.788</v>
      </c>
    </row>
    <row r="574" spans="1:4" x14ac:dyDescent="0.3">
      <c r="A574" s="45" t="s">
        <v>1389</v>
      </c>
      <c r="B574" s="44" t="s">
        <v>1390</v>
      </c>
      <c r="C574" s="7" t="s">
        <v>1042</v>
      </c>
      <c r="D574" s="49">
        <v>32.267000000000003</v>
      </c>
    </row>
    <row r="575" spans="1:4" x14ac:dyDescent="0.3">
      <c r="A575" s="45" t="s">
        <v>1393</v>
      </c>
      <c r="B575" s="44" t="s">
        <v>1394</v>
      </c>
      <c r="C575" s="7" t="s">
        <v>1042</v>
      </c>
      <c r="D575" s="49">
        <v>43.337000000000003</v>
      </c>
    </row>
    <row r="576" spans="1:4" x14ac:dyDescent="0.3">
      <c r="A576" s="45" t="s">
        <v>1395</v>
      </c>
      <c r="B576" s="44" t="s">
        <v>1396</v>
      </c>
      <c r="C576" s="7" t="s">
        <v>1042</v>
      </c>
      <c r="D576" s="49">
        <v>7</v>
      </c>
    </row>
    <row r="577" spans="1:4" x14ac:dyDescent="0.3">
      <c r="A577" s="45" t="s">
        <v>1403</v>
      </c>
      <c r="B577" s="44" t="s">
        <v>1404</v>
      </c>
      <c r="C577" s="14" t="s">
        <v>1042</v>
      </c>
      <c r="D577" s="49">
        <v>41.244</v>
      </c>
    </row>
    <row r="578" spans="1:4" ht="27" x14ac:dyDescent="0.3">
      <c r="A578" s="45" t="s">
        <v>1405</v>
      </c>
      <c r="B578" s="44" t="s">
        <v>1406</v>
      </c>
      <c r="C578" s="14" t="s">
        <v>1042</v>
      </c>
      <c r="D578" s="49">
        <v>115.419</v>
      </c>
    </row>
    <row r="579" spans="1:4" ht="27" x14ac:dyDescent="0.3">
      <c r="A579" s="45" t="s">
        <v>1407</v>
      </c>
      <c r="B579" s="44" t="s">
        <v>1408</v>
      </c>
      <c r="C579" s="14" t="s">
        <v>1042</v>
      </c>
      <c r="D579" s="49">
        <v>136.81800000000001</v>
      </c>
    </row>
    <row r="580" spans="1:4" ht="27" x14ac:dyDescent="0.3">
      <c r="A580" s="45" t="s">
        <v>1409</v>
      </c>
      <c r="B580" s="44" t="s">
        <v>1410</v>
      </c>
      <c r="C580" s="14" t="s">
        <v>1042</v>
      </c>
      <c r="D580" s="49">
        <v>89.128</v>
      </c>
    </row>
    <row r="581" spans="1:4" x14ac:dyDescent="0.3">
      <c r="A581" s="45" t="s">
        <v>1411</v>
      </c>
      <c r="B581" s="44" t="s">
        <v>1412</v>
      </c>
      <c r="C581" s="10" t="s">
        <v>198</v>
      </c>
      <c r="D581" s="49">
        <v>18.431999999999999</v>
      </c>
    </row>
    <row r="582" spans="1:4" ht="27" x14ac:dyDescent="0.3">
      <c r="A582" s="45" t="s">
        <v>1413</v>
      </c>
      <c r="B582" s="44" t="s">
        <v>1414</v>
      </c>
      <c r="C582" s="14" t="s">
        <v>1042</v>
      </c>
      <c r="D582" s="49">
        <v>136.536</v>
      </c>
    </row>
    <row r="583" spans="1:4" ht="27" x14ac:dyDescent="0.3">
      <c r="A583" s="45" t="s">
        <v>1415</v>
      </c>
      <c r="B583" s="44" t="s">
        <v>1416</v>
      </c>
      <c r="C583" s="14" t="s">
        <v>1042</v>
      </c>
      <c r="D583" s="49">
        <v>111.196</v>
      </c>
    </row>
    <row r="584" spans="1:4" ht="27" x14ac:dyDescent="0.3">
      <c r="A584" s="45" t="s">
        <v>1419</v>
      </c>
      <c r="B584" s="44" t="s">
        <v>1420</v>
      </c>
      <c r="C584" s="14" t="s">
        <v>1042</v>
      </c>
      <c r="D584" s="49">
        <v>100.063</v>
      </c>
    </row>
    <row r="585" spans="1:4" x14ac:dyDescent="0.3">
      <c r="A585" s="45" t="s">
        <v>1423</v>
      </c>
      <c r="B585" s="44" t="s">
        <v>1424</v>
      </c>
      <c r="C585" s="14" t="s">
        <v>1042</v>
      </c>
      <c r="D585" s="49">
        <v>160.495</v>
      </c>
    </row>
    <row r="586" spans="1:4" x14ac:dyDescent="0.3">
      <c r="A586" s="45" t="s">
        <v>1425</v>
      </c>
      <c r="B586" s="44" t="s">
        <v>1426</v>
      </c>
      <c r="C586" s="7" t="s">
        <v>1042</v>
      </c>
      <c r="D586" s="49">
        <v>103.101</v>
      </c>
    </row>
    <row r="587" spans="1:4" x14ac:dyDescent="0.3">
      <c r="A587" s="46" t="s">
        <v>1427</v>
      </c>
      <c r="B587" s="44" t="s">
        <v>1428</v>
      </c>
      <c r="C587" s="7" t="s">
        <v>1042</v>
      </c>
      <c r="D587" s="49">
        <v>109.523</v>
      </c>
    </row>
    <row r="588" spans="1:4" x14ac:dyDescent="0.3">
      <c r="A588" s="45" t="s">
        <v>1429</v>
      </c>
      <c r="B588" s="44" t="s">
        <v>1430</v>
      </c>
      <c r="C588" s="15" t="s">
        <v>452</v>
      </c>
      <c r="D588" s="49">
        <v>0.48199999999999998</v>
      </c>
    </row>
    <row r="589" spans="1:4" x14ac:dyDescent="0.3">
      <c r="A589" s="45" t="s">
        <v>1431</v>
      </c>
      <c r="B589" s="44" t="s">
        <v>1432</v>
      </c>
      <c r="C589" s="14" t="s">
        <v>199</v>
      </c>
      <c r="D589" s="49">
        <v>47.125999999999998</v>
      </c>
    </row>
    <row r="590" spans="1:4" x14ac:dyDescent="0.3">
      <c r="A590" s="45" t="s">
        <v>1433</v>
      </c>
      <c r="B590" s="44" t="s">
        <v>1434</v>
      </c>
      <c r="C590" s="14" t="s">
        <v>199</v>
      </c>
      <c r="D590" s="49">
        <v>48.637</v>
      </c>
    </row>
    <row r="591" spans="1:4" ht="27" x14ac:dyDescent="0.3">
      <c r="A591" s="45" t="s">
        <v>1435</v>
      </c>
      <c r="B591" s="44" t="s">
        <v>1436</v>
      </c>
      <c r="C591" s="10" t="s">
        <v>360</v>
      </c>
      <c r="D591" s="49">
        <v>0.89700000000000002</v>
      </c>
    </row>
    <row r="592" spans="1:4" ht="27" x14ac:dyDescent="0.3">
      <c r="A592" s="45" t="s">
        <v>1437</v>
      </c>
      <c r="B592" s="44" t="s">
        <v>1438</v>
      </c>
      <c r="C592" s="10" t="s">
        <v>432</v>
      </c>
      <c r="D592" s="49">
        <v>8.9670000000000005</v>
      </c>
    </row>
    <row r="593" spans="1:4" x14ac:dyDescent="0.3">
      <c r="A593" s="45" t="s">
        <v>1602</v>
      </c>
      <c r="B593" s="44" t="s">
        <v>1603</v>
      </c>
      <c r="C593" s="7" t="s">
        <v>199</v>
      </c>
      <c r="D593" s="49">
        <v>62.421999999999997</v>
      </c>
    </row>
    <row r="594" spans="1:4" x14ac:dyDescent="0.3">
      <c r="A594" s="45" t="s">
        <v>1439</v>
      </c>
      <c r="B594" s="44" t="s">
        <v>1440</v>
      </c>
      <c r="C594" s="7" t="s">
        <v>396</v>
      </c>
      <c r="D594" s="49">
        <v>294.34399999999999</v>
      </c>
    </row>
    <row r="595" spans="1:4" x14ac:dyDescent="0.3">
      <c r="A595" s="46" t="s">
        <v>1441</v>
      </c>
      <c r="B595" s="44" t="s">
        <v>1442</v>
      </c>
      <c r="C595" s="10" t="s">
        <v>452</v>
      </c>
      <c r="D595" s="49">
        <v>0.61899999999999999</v>
      </c>
    </row>
    <row r="596" spans="1:4" ht="27" x14ac:dyDescent="0.3">
      <c r="A596" s="45" t="s">
        <v>1443</v>
      </c>
      <c r="B596" s="44" t="s">
        <v>1444</v>
      </c>
      <c r="C596" s="7" t="s">
        <v>396</v>
      </c>
      <c r="D596" s="49">
        <v>301.798</v>
      </c>
    </row>
    <row r="597" spans="1:4" x14ac:dyDescent="0.3">
      <c r="A597" s="45" t="s">
        <v>1635</v>
      </c>
      <c r="B597" s="44" t="s">
        <v>1636</v>
      </c>
      <c r="C597" s="7" t="s">
        <v>199</v>
      </c>
      <c r="D597" s="49">
        <v>90.96</v>
      </c>
    </row>
    <row r="598" spans="1:4" x14ac:dyDescent="0.3">
      <c r="A598" s="45" t="s">
        <v>1637</v>
      </c>
      <c r="B598" s="44" t="s">
        <v>1638</v>
      </c>
      <c r="C598" s="7" t="s">
        <v>199</v>
      </c>
      <c r="D598" s="49">
        <v>96.305000000000007</v>
      </c>
    </row>
    <row r="599" spans="1:4" x14ac:dyDescent="0.3">
      <c r="A599" s="45" t="s">
        <v>1604</v>
      </c>
      <c r="B599" s="44" t="s">
        <v>1605</v>
      </c>
      <c r="C599" s="7" t="s">
        <v>199</v>
      </c>
      <c r="D599" s="49">
        <v>93.311999999999998</v>
      </c>
    </row>
    <row r="600" spans="1:4" x14ac:dyDescent="0.3">
      <c r="A600" s="45" t="s">
        <v>1606</v>
      </c>
      <c r="B600" s="44" t="s">
        <v>1607</v>
      </c>
      <c r="C600" s="7" t="s">
        <v>199</v>
      </c>
      <c r="D600" s="49">
        <v>69.192999999999998</v>
      </c>
    </row>
    <row r="601" spans="1:4" x14ac:dyDescent="0.3">
      <c r="A601" s="45" t="s">
        <v>1639</v>
      </c>
      <c r="B601" s="44" t="s">
        <v>1640</v>
      </c>
      <c r="C601" s="7" t="s">
        <v>199</v>
      </c>
      <c r="D601" s="49">
        <v>83.162000000000006</v>
      </c>
    </row>
    <row r="602" spans="1:4" x14ac:dyDescent="0.3">
      <c r="A602" s="45" t="s">
        <v>1608</v>
      </c>
      <c r="B602" s="44" t="s">
        <v>1609</v>
      </c>
      <c r="C602" s="7" t="s">
        <v>199</v>
      </c>
      <c r="D602" s="49">
        <v>80.915000000000006</v>
      </c>
    </row>
    <row r="603" spans="1:4" x14ac:dyDescent="0.3">
      <c r="A603" s="45" t="s">
        <v>1641</v>
      </c>
      <c r="B603" s="44" t="s">
        <v>1642</v>
      </c>
      <c r="C603" s="7" t="s">
        <v>199</v>
      </c>
      <c r="D603" s="49">
        <v>63.18</v>
      </c>
    </row>
    <row r="604" spans="1:4" x14ac:dyDescent="0.3">
      <c r="A604" s="45" t="s">
        <v>1643</v>
      </c>
      <c r="B604" s="44" t="s">
        <v>1644</v>
      </c>
      <c r="C604" s="7" t="s">
        <v>199</v>
      </c>
      <c r="D604" s="49">
        <v>73.83</v>
      </c>
    </row>
    <row r="605" spans="1:4" ht="27" x14ac:dyDescent="0.3">
      <c r="A605" s="45" t="s">
        <v>1645</v>
      </c>
      <c r="B605" s="44" t="s">
        <v>1646</v>
      </c>
      <c r="C605" s="7" t="s">
        <v>396</v>
      </c>
      <c r="D605" s="49">
        <v>317.28300000000002</v>
      </c>
    </row>
    <row r="606" spans="1:4" ht="27" x14ac:dyDescent="0.3">
      <c r="A606" s="46" t="s">
        <v>1445</v>
      </c>
      <c r="B606" s="44" t="s">
        <v>1446</v>
      </c>
      <c r="C606" s="10" t="s">
        <v>204</v>
      </c>
      <c r="D606" s="49">
        <v>18.579999999999998</v>
      </c>
    </row>
    <row r="607" spans="1:4" ht="27" x14ac:dyDescent="0.3">
      <c r="A607" s="45" t="s">
        <v>1447</v>
      </c>
      <c r="B607" s="44" t="s">
        <v>1448</v>
      </c>
      <c r="C607" s="7" t="s">
        <v>204</v>
      </c>
      <c r="D607" s="49">
        <v>32.137</v>
      </c>
    </row>
    <row r="608" spans="1:4" ht="27" x14ac:dyDescent="0.3">
      <c r="A608" s="45" t="s">
        <v>1449</v>
      </c>
      <c r="B608" s="44" t="s">
        <v>1450</v>
      </c>
      <c r="C608" s="7" t="s">
        <v>204</v>
      </c>
      <c r="D608" s="49">
        <v>48.206000000000003</v>
      </c>
    </row>
    <row r="609" spans="1:4" ht="27" x14ac:dyDescent="0.3">
      <c r="A609" s="45" t="s">
        <v>1451</v>
      </c>
      <c r="B609" s="44" t="s">
        <v>1452</v>
      </c>
      <c r="C609" s="7" t="s">
        <v>204</v>
      </c>
      <c r="D609" s="49">
        <v>7.1999999999999995E-2</v>
      </c>
    </row>
    <row r="610" spans="1:4" ht="27" x14ac:dyDescent="0.3">
      <c r="A610" s="45" t="s">
        <v>1610</v>
      </c>
      <c r="B610" s="44" t="s">
        <v>1611</v>
      </c>
      <c r="C610" s="7" t="s">
        <v>204</v>
      </c>
      <c r="D610" s="49">
        <v>0.2</v>
      </c>
    </row>
    <row r="611" spans="1:4" ht="27" x14ac:dyDescent="0.3">
      <c r="A611" s="45" t="s">
        <v>1612</v>
      </c>
      <c r="B611" s="44" t="s">
        <v>1613</v>
      </c>
      <c r="C611" s="7" t="s">
        <v>204</v>
      </c>
      <c r="D611" s="49">
        <v>0.253</v>
      </c>
    </row>
    <row r="612" spans="1:4" ht="27" x14ac:dyDescent="0.3">
      <c r="A612" s="45" t="s">
        <v>1453</v>
      </c>
      <c r="B612" s="44" t="s">
        <v>1454</v>
      </c>
      <c r="C612" s="7" t="s">
        <v>204</v>
      </c>
      <c r="D612" s="49">
        <v>0.187</v>
      </c>
    </row>
    <row r="613" spans="1:4" ht="27" x14ac:dyDescent="0.3">
      <c r="A613" s="45" t="s">
        <v>1455</v>
      </c>
      <c r="B613" s="44" t="s">
        <v>1456</v>
      </c>
      <c r="C613" s="7" t="s">
        <v>204</v>
      </c>
      <c r="D613" s="49">
        <v>0.94</v>
      </c>
    </row>
    <row r="614" spans="1:4" ht="27" x14ac:dyDescent="0.3">
      <c r="A614" s="45" t="s">
        <v>1457</v>
      </c>
      <c r="B614" s="44" t="s">
        <v>1458</v>
      </c>
      <c r="C614" s="7" t="s">
        <v>204</v>
      </c>
      <c r="D614" s="49">
        <v>0.33100000000000002</v>
      </c>
    </row>
    <row r="615" spans="1:4" ht="27" x14ac:dyDescent="0.3">
      <c r="A615" s="45" t="s">
        <v>1459</v>
      </c>
      <c r="B615" s="44" t="s">
        <v>1460</v>
      </c>
      <c r="C615" s="7" t="s">
        <v>204</v>
      </c>
      <c r="D615" s="49">
        <v>0.111</v>
      </c>
    </row>
    <row r="616" spans="1:4" ht="27" x14ac:dyDescent="0.3">
      <c r="A616" s="45" t="s">
        <v>1461</v>
      </c>
      <c r="B616" s="44" t="s">
        <v>1462</v>
      </c>
      <c r="C616" s="7" t="s">
        <v>1463</v>
      </c>
      <c r="D616" s="49">
        <v>1744.5239999999999</v>
      </c>
    </row>
    <row r="617" spans="1:4" ht="27" x14ac:dyDescent="0.3">
      <c r="A617" s="50" t="s">
        <v>1464</v>
      </c>
      <c r="B617" s="51" t="s">
        <v>1465</v>
      </c>
      <c r="C617" s="21" t="s">
        <v>1466</v>
      </c>
      <c r="D617" s="52">
        <v>1744.5239999999999</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C56A0-87CC-4847-A3FE-971F343D3387}">
  <dimension ref="A1:D633"/>
  <sheetViews>
    <sheetView topLeftCell="A519" workbookViewId="0">
      <selection activeCell="B537" sqref="B537"/>
    </sheetView>
  </sheetViews>
  <sheetFormatPr defaultRowHeight="14.4" x14ac:dyDescent="0.3"/>
  <cols>
    <col min="1" max="1" width="13.21875" customWidth="1"/>
    <col min="2" max="2" width="28.77734375" bestFit="1" customWidth="1"/>
    <col min="3" max="3" width="19.5546875" customWidth="1"/>
    <col min="4" max="4" width="15" customWidth="1"/>
  </cols>
  <sheetData>
    <row r="1" spans="1:4" x14ac:dyDescent="0.3">
      <c r="A1" s="149" t="s">
        <v>201</v>
      </c>
      <c r="B1" s="149" t="s">
        <v>202</v>
      </c>
      <c r="C1" s="149" t="s">
        <v>196</v>
      </c>
      <c r="D1" s="149" t="s">
        <v>197</v>
      </c>
    </row>
    <row r="2" spans="1:4" x14ac:dyDescent="0.3">
      <c r="A2">
        <v>90371</v>
      </c>
      <c r="B2" t="s">
        <v>203</v>
      </c>
      <c r="C2" t="s">
        <v>204</v>
      </c>
      <c r="D2">
        <v>126.858</v>
      </c>
    </row>
    <row r="3" spans="1:4" x14ac:dyDescent="0.3">
      <c r="A3">
        <v>90375</v>
      </c>
      <c r="B3" t="s">
        <v>205</v>
      </c>
      <c r="C3" t="s">
        <v>206</v>
      </c>
      <c r="D3">
        <v>271.36599999999999</v>
      </c>
    </row>
    <row r="4" spans="1:4" x14ac:dyDescent="0.3">
      <c r="A4">
        <v>90376</v>
      </c>
      <c r="B4" t="s">
        <v>207</v>
      </c>
      <c r="C4" t="s">
        <v>206</v>
      </c>
      <c r="D4">
        <v>237.36799999999999</v>
      </c>
    </row>
    <row r="5" spans="1:4" x14ac:dyDescent="0.3">
      <c r="A5">
        <v>90586</v>
      </c>
      <c r="B5" t="s">
        <v>210</v>
      </c>
      <c r="C5" t="s">
        <v>211</v>
      </c>
      <c r="D5">
        <v>142.50399999999999</v>
      </c>
    </row>
    <row r="6" spans="1:4" x14ac:dyDescent="0.3">
      <c r="A6">
        <v>90632</v>
      </c>
      <c r="B6" t="s">
        <v>212</v>
      </c>
      <c r="C6" t="s">
        <v>204</v>
      </c>
      <c r="D6">
        <v>60.695999999999998</v>
      </c>
    </row>
    <row r="7" spans="1:4" x14ac:dyDescent="0.3">
      <c r="A7">
        <v>90653</v>
      </c>
      <c r="B7" t="s">
        <v>213</v>
      </c>
      <c r="C7" t="s">
        <v>214</v>
      </c>
      <c r="D7">
        <v>59.529000000000003</v>
      </c>
    </row>
    <row r="8" spans="1:4" x14ac:dyDescent="0.3">
      <c r="A8">
        <v>90662</v>
      </c>
      <c r="B8" t="s">
        <v>217</v>
      </c>
      <c r="C8" t="s">
        <v>216</v>
      </c>
      <c r="D8">
        <v>60.981999999999999</v>
      </c>
    </row>
    <row r="9" spans="1:4" x14ac:dyDescent="0.3">
      <c r="A9">
        <v>90670</v>
      </c>
      <c r="B9" t="s">
        <v>218</v>
      </c>
      <c r="C9" t="s">
        <v>216</v>
      </c>
      <c r="D9">
        <v>230.14099999999999</v>
      </c>
    </row>
    <row r="10" spans="1:4" x14ac:dyDescent="0.3">
      <c r="A10">
        <v>90672</v>
      </c>
      <c r="B10" t="s">
        <v>1547</v>
      </c>
      <c r="C10" t="s">
        <v>1548</v>
      </c>
      <c r="D10">
        <v>26.876000000000001</v>
      </c>
    </row>
    <row r="11" spans="1:4" x14ac:dyDescent="0.3">
      <c r="A11">
        <v>90674</v>
      </c>
      <c r="B11" t="s">
        <v>219</v>
      </c>
      <c r="C11" t="s">
        <v>216</v>
      </c>
      <c r="D11">
        <v>29.228000000000002</v>
      </c>
    </row>
    <row r="12" spans="1:4" x14ac:dyDescent="0.3">
      <c r="A12">
        <v>90675</v>
      </c>
      <c r="B12" t="s">
        <v>220</v>
      </c>
      <c r="C12" t="s">
        <v>204</v>
      </c>
      <c r="D12">
        <v>318.05599999999998</v>
      </c>
    </row>
    <row r="13" spans="1:4" x14ac:dyDescent="0.3">
      <c r="A13">
        <v>90682</v>
      </c>
      <c r="B13" t="s">
        <v>221</v>
      </c>
      <c r="C13" t="s">
        <v>216</v>
      </c>
      <c r="D13">
        <v>60.981999999999999</v>
      </c>
    </row>
    <row r="14" spans="1:4" x14ac:dyDescent="0.3">
      <c r="A14">
        <v>90685</v>
      </c>
      <c r="B14" t="s">
        <v>222</v>
      </c>
      <c r="C14" t="s">
        <v>223</v>
      </c>
      <c r="D14">
        <v>21.129000000000001</v>
      </c>
    </row>
    <row r="15" spans="1:4" x14ac:dyDescent="0.3">
      <c r="A15">
        <v>90686</v>
      </c>
      <c r="B15" t="s">
        <v>224</v>
      </c>
      <c r="C15" t="s">
        <v>214</v>
      </c>
      <c r="D15">
        <v>19.581</v>
      </c>
    </row>
    <row r="16" spans="1:4" x14ac:dyDescent="0.3">
      <c r="A16">
        <v>90687</v>
      </c>
      <c r="B16" t="s">
        <v>225</v>
      </c>
      <c r="C16" t="s">
        <v>226</v>
      </c>
      <c r="D16">
        <v>9.5839999999999996</v>
      </c>
    </row>
    <row r="17" spans="1:4" x14ac:dyDescent="0.3">
      <c r="A17">
        <v>90688</v>
      </c>
      <c r="B17" t="s">
        <v>227</v>
      </c>
      <c r="C17" t="s">
        <v>216</v>
      </c>
      <c r="D17">
        <v>19.167999999999999</v>
      </c>
    </row>
    <row r="18" spans="1:4" x14ac:dyDescent="0.3">
      <c r="A18">
        <v>90691</v>
      </c>
      <c r="B18" t="s">
        <v>228</v>
      </c>
      <c r="C18" t="s">
        <v>216</v>
      </c>
      <c r="D18">
        <v>123.681</v>
      </c>
    </row>
    <row r="19" spans="1:4" x14ac:dyDescent="0.3">
      <c r="A19">
        <v>90694</v>
      </c>
      <c r="B19" t="s">
        <v>1942</v>
      </c>
      <c r="C19" t="s">
        <v>216</v>
      </c>
      <c r="D19">
        <v>61</v>
      </c>
    </row>
    <row r="20" spans="1:4" x14ac:dyDescent="0.3">
      <c r="A20">
        <v>90714</v>
      </c>
      <c r="B20" t="s">
        <v>229</v>
      </c>
      <c r="C20" t="s">
        <v>216</v>
      </c>
      <c r="D20">
        <v>25.370999999999999</v>
      </c>
    </row>
    <row r="21" spans="1:4" x14ac:dyDescent="0.3">
      <c r="A21">
        <v>90715</v>
      </c>
      <c r="B21" t="s">
        <v>230</v>
      </c>
      <c r="C21" t="s">
        <v>216</v>
      </c>
      <c r="D21">
        <v>34.06</v>
      </c>
    </row>
    <row r="22" spans="1:4" x14ac:dyDescent="0.3">
      <c r="A22">
        <v>90732</v>
      </c>
      <c r="B22" t="s">
        <v>231</v>
      </c>
      <c r="C22" t="s">
        <v>216</v>
      </c>
      <c r="D22">
        <v>119.92100000000001</v>
      </c>
    </row>
    <row r="23" spans="1:4" x14ac:dyDescent="0.3">
      <c r="A23">
        <v>90739</v>
      </c>
      <c r="B23" t="s">
        <v>232</v>
      </c>
      <c r="C23" t="s">
        <v>233</v>
      </c>
      <c r="D23">
        <v>131.1</v>
      </c>
    </row>
    <row r="24" spans="1:4" x14ac:dyDescent="0.3">
      <c r="A24">
        <v>90740</v>
      </c>
      <c r="B24" t="s">
        <v>234</v>
      </c>
      <c r="C24" t="s">
        <v>235</v>
      </c>
      <c r="D24">
        <v>140.756</v>
      </c>
    </row>
    <row r="25" spans="1:4" x14ac:dyDescent="0.3">
      <c r="A25">
        <v>90744</v>
      </c>
      <c r="B25" t="s">
        <v>236</v>
      </c>
      <c r="C25" t="s">
        <v>237</v>
      </c>
      <c r="D25">
        <v>28.207999999999998</v>
      </c>
    </row>
    <row r="26" spans="1:4" x14ac:dyDescent="0.3">
      <c r="A26">
        <v>90746</v>
      </c>
      <c r="B26" t="s">
        <v>238</v>
      </c>
      <c r="C26" t="s">
        <v>239</v>
      </c>
      <c r="D26">
        <v>69.647999999999996</v>
      </c>
    </row>
    <row r="27" spans="1:4" x14ac:dyDescent="0.3">
      <c r="A27">
        <v>90747</v>
      </c>
      <c r="B27" t="s">
        <v>240</v>
      </c>
      <c r="C27" t="s">
        <v>235</v>
      </c>
      <c r="D27">
        <v>140.756</v>
      </c>
    </row>
    <row r="28" spans="1:4" x14ac:dyDescent="0.3">
      <c r="A28">
        <v>90756</v>
      </c>
      <c r="B28" t="s">
        <v>241</v>
      </c>
      <c r="C28" t="s">
        <v>216</v>
      </c>
      <c r="D28">
        <v>27.695</v>
      </c>
    </row>
    <row r="29" spans="1:4" x14ac:dyDescent="0.3">
      <c r="A29" t="s">
        <v>1549</v>
      </c>
      <c r="B29" t="s">
        <v>1550</v>
      </c>
      <c r="C29" t="s">
        <v>254</v>
      </c>
      <c r="D29">
        <v>0.16700000000000001</v>
      </c>
    </row>
    <row r="30" spans="1:4" x14ac:dyDescent="0.3">
      <c r="A30" t="s">
        <v>242</v>
      </c>
      <c r="B30" t="s">
        <v>243</v>
      </c>
      <c r="C30" t="s">
        <v>204</v>
      </c>
      <c r="D30">
        <v>1.4079999999999999</v>
      </c>
    </row>
    <row r="31" spans="1:4" x14ac:dyDescent="0.3">
      <c r="A31" t="s">
        <v>244</v>
      </c>
      <c r="B31" t="s">
        <v>245</v>
      </c>
      <c r="C31" t="s">
        <v>204</v>
      </c>
      <c r="D31">
        <v>1.8140000000000001</v>
      </c>
    </row>
    <row r="32" spans="1:4" x14ac:dyDescent="0.3">
      <c r="A32" t="s">
        <v>246</v>
      </c>
      <c r="B32" t="s">
        <v>247</v>
      </c>
      <c r="C32" t="s">
        <v>204</v>
      </c>
      <c r="D32">
        <v>1.7549999999999999</v>
      </c>
    </row>
    <row r="33" spans="1:4" x14ac:dyDescent="0.3">
      <c r="A33" t="s">
        <v>248</v>
      </c>
      <c r="B33" t="s">
        <v>249</v>
      </c>
      <c r="C33" t="s">
        <v>204</v>
      </c>
      <c r="D33">
        <v>1.548</v>
      </c>
    </row>
    <row r="34" spans="1:4" x14ac:dyDescent="0.3">
      <c r="A34" t="s">
        <v>250</v>
      </c>
      <c r="B34" t="s">
        <v>251</v>
      </c>
      <c r="C34" t="s">
        <v>204</v>
      </c>
      <c r="D34">
        <v>14.734999999999999</v>
      </c>
    </row>
    <row r="35" spans="1:4" x14ac:dyDescent="0.3">
      <c r="A35" t="s">
        <v>252</v>
      </c>
      <c r="B35" t="s">
        <v>253</v>
      </c>
      <c r="C35" t="s">
        <v>254</v>
      </c>
      <c r="D35">
        <v>0.36299999999999999</v>
      </c>
    </row>
    <row r="36" spans="1:4" x14ac:dyDescent="0.3">
      <c r="A36" t="s">
        <v>255</v>
      </c>
      <c r="B36" t="s">
        <v>256</v>
      </c>
      <c r="C36" t="s">
        <v>257</v>
      </c>
      <c r="D36">
        <v>1175.7729999999999</v>
      </c>
    </row>
    <row r="37" spans="1:4" x14ac:dyDescent="0.3">
      <c r="A37" t="s">
        <v>258</v>
      </c>
      <c r="B37" t="s">
        <v>259</v>
      </c>
      <c r="C37" t="s">
        <v>260</v>
      </c>
      <c r="D37">
        <v>169.09</v>
      </c>
    </row>
    <row r="38" spans="1:4" x14ac:dyDescent="0.3">
      <c r="A38" t="s">
        <v>1552</v>
      </c>
      <c r="B38" t="s">
        <v>1553</v>
      </c>
      <c r="C38" t="s">
        <v>198</v>
      </c>
      <c r="D38">
        <v>3.2709999999999999</v>
      </c>
    </row>
    <row r="39" spans="1:4" x14ac:dyDescent="0.3">
      <c r="A39" t="s">
        <v>1554</v>
      </c>
      <c r="B39" t="s">
        <v>1555</v>
      </c>
      <c r="C39" t="s">
        <v>198</v>
      </c>
      <c r="D39">
        <v>1.0389999999999999</v>
      </c>
    </row>
    <row r="40" spans="1:4" x14ac:dyDescent="0.3">
      <c r="A40" t="s">
        <v>261</v>
      </c>
      <c r="B40" t="s">
        <v>262</v>
      </c>
      <c r="C40" t="s">
        <v>199</v>
      </c>
      <c r="D40">
        <v>56.866999999999997</v>
      </c>
    </row>
    <row r="41" spans="1:4" x14ac:dyDescent="0.3">
      <c r="A41" t="s">
        <v>265</v>
      </c>
      <c r="B41" t="s">
        <v>266</v>
      </c>
      <c r="C41" t="s">
        <v>257</v>
      </c>
      <c r="D41">
        <v>0.94399999999999995</v>
      </c>
    </row>
    <row r="42" spans="1:4" x14ac:dyDescent="0.3">
      <c r="A42" t="s">
        <v>267</v>
      </c>
      <c r="B42" t="s">
        <v>268</v>
      </c>
      <c r="C42" t="s">
        <v>200</v>
      </c>
      <c r="D42">
        <v>4.2000000000000003E-2</v>
      </c>
    </row>
    <row r="43" spans="1:4" x14ac:dyDescent="0.3">
      <c r="A43" t="s">
        <v>269</v>
      </c>
      <c r="B43" t="s">
        <v>270</v>
      </c>
      <c r="C43" t="s">
        <v>198</v>
      </c>
      <c r="D43">
        <v>0.55300000000000005</v>
      </c>
    </row>
    <row r="44" spans="1:4" x14ac:dyDescent="0.3">
      <c r="A44" t="s">
        <v>271</v>
      </c>
      <c r="B44" t="s">
        <v>272</v>
      </c>
      <c r="C44" t="s">
        <v>273</v>
      </c>
      <c r="D44">
        <v>0.84799999999999998</v>
      </c>
    </row>
    <row r="45" spans="1:4" x14ac:dyDescent="0.3">
      <c r="A45" t="s">
        <v>274</v>
      </c>
      <c r="B45" t="s">
        <v>275</v>
      </c>
      <c r="C45" t="s">
        <v>198</v>
      </c>
      <c r="D45">
        <v>921.755</v>
      </c>
    </row>
    <row r="46" spans="1:4" x14ac:dyDescent="0.3">
      <c r="A46" t="s">
        <v>1556</v>
      </c>
      <c r="B46" t="s">
        <v>1557</v>
      </c>
      <c r="C46" t="s">
        <v>198</v>
      </c>
      <c r="D46">
        <v>314.94799999999998</v>
      </c>
    </row>
    <row r="47" spans="1:4" x14ac:dyDescent="0.3">
      <c r="A47" t="s">
        <v>276</v>
      </c>
      <c r="B47" t="s">
        <v>277</v>
      </c>
      <c r="C47" t="s">
        <v>198</v>
      </c>
      <c r="D47">
        <v>189.286</v>
      </c>
    </row>
    <row r="48" spans="1:4" x14ac:dyDescent="0.3">
      <c r="A48" t="s">
        <v>278</v>
      </c>
      <c r="B48" t="s">
        <v>279</v>
      </c>
      <c r="C48" t="s">
        <v>198</v>
      </c>
      <c r="D48">
        <v>1.593</v>
      </c>
    </row>
    <row r="49" spans="1:4" x14ac:dyDescent="0.3">
      <c r="A49" t="s">
        <v>280</v>
      </c>
      <c r="B49" t="s">
        <v>281</v>
      </c>
      <c r="C49" t="s">
        <v>198</v>
      </c>
      <c r="D49">
        <v>2017.4490000000001</v>
      </c>
    </row>
    <row r="50" spans="1:4" x14ac:dyDescent="0.3">
      <c r="A50" t="s">
        <v>282</v>
      </c>
      <c r="B50" t="s">
        <v>283</v>
      </c>
      <c r="C50" t="s">
        <v>284</v>
      </c>
      <c r="D50">
        <v>1135.691</v>
      </c>
    </row>
    <row r="51" spans="1:4" x14ac:dyDescent="0.3">
      <c r="A51" t="s">
        <v>285</v>
      </c>
      <c r="B51" t="s">
        <v>286</v>
      </c>
      <c r="C51" t="s">
        <v>199</v>
      </c>
      <c r="D51">
        <v>174.63200000000001</v>
      </c>
    </row>
    <row r="52" spans="1:4" x14ac:dyDescent="0.3">
      <c r="A52" t="s">
        <v>1558</v>
      </c>
      <c r="B52" t="s">
        <v>1559</v>
      </c>
      <c r="C52" t="s">
        <v>273</v>
      </c>
      <c r="D52">
        <v>97.682000000000002</v>
      </c>
    </row>
    <row r="53" spans="1:4" x14ac:dyDescent="0.3">
      <c r="A53" t="s">
        <v>1615</v>
      </c>
      <c r="B53" t="s">
        <v>1616</v>
      </c>
      <c r="C53" t="s">
        <v>396</v>
      </c>
      <c r="D53">
        <v>106.88</v>
      </c>
    </row>
    <row r="54" spans="1:4" x14ac:dyDescent="0.3">
      <c r="A54" t="s">
        <v>287</v>
      </c>
      <c r="B54" t="s">
        <v>288</v>
      </c>
      <c r="C54" t="s">
        <v>199</v>
      </c>
      <c r="D54">
        <v>4.5229999999999997</v>
      </c>
    </row>
    <row r="55" spans="1:4" x14ac:dyDescent="0.3">
      <c r="A55" t="s">
        <v>289</v>
      </c>
      <c r="B55" t="s">
        <v>290</v>
      </c>
      <c r="C55" t="s">
        <v>199</v>
      </c>
      <c r="D55">
        <v>4.8869999999999996</v>
      </c>
    </row>
    <row r="56" spans="1:4" x14ac:dyDescent="0.3">
      <c r="A56" t="s">
        <v>291</v>
      </c>
      <c r="B56" t="s">
        <v>292</v>
      </c>
      <c r="C56" t="s">
        <v>257</v>
      </c>
      <c r="D56">
        <v>1.0640000000000001</v>
      </c>
    </row>
    <row r="57" spans="1:4" x14ac:dyDescent="0.3">
      <c r="A57" t="s">
        <v>293</v>
      </c>
      <c r="B57" t="s">
        <v>294</v>
      </c>
      <c r="C57" t="s">
        <v>295</v>
      </c>
      <c r="D57">
        <v>10.335000000000001</v>
      </c>
    </row>
    <row r="58" spans="1:4" x14ac:dyDescent="0.3">
      <c r="A58" t="s">
        <v>296</v>
      </c>
      <c r="B58" t="s">
        <v>297</v>
      </c>
      <c r="C58" t="s">
        <v>209</v>
      </c>
      <c r="D58">
        <v>38.905000000000001</v>
      </c>
    </row>
    <row r="59" spans="1:4" x14ac:dyDescent="0.3">
      <c r="A59" t="s">
        <v>298</v>
      </c>
      <c r="B59" t="s">
        <v>299</v>
      </c>
      <c r="C59" t="s">
        <v>199</v>
      </c>
      <c r="D59">
        <v>9.3729999999999993</v>
      </c>
    </row>
    <row r="60" spans="1:4" x14ac:dyDescent="0.3">
      <c r="A60" t="s">
        <v>300</v>
      </c>
      <c r="B60" t="s">
        <v>301</v>
      </c>
      <c r="C60" t="s">
        <v>199</v>
      </c>
      <c r="D60">
        <v>27.239000000000001</v>
      </c>
    </row>
    <row r="61" spans="1:4" x14ac:dyDescent="0.3">
      <c r="A61" t="s">
        <v>302</v>
      </c>
      <c r="B61" t="s">
        <v>303</v>
      </c>
      <c r="C61" t="s">
        <v>284</v>
      </c>
      <c r="D61">
        <v>0.88600000000000001</v>
      </c>
    </row>
    <row r="62" spans="1:4" x14ac:dyDescent="0.3">
      <c r="A62" t="s">
        <v>1617</v>
      </c>
      <c r="B62" t="s">
        <v>1618</v>
      </c>
      <c r="C62" t="s">
        <v>200</v>
      </c>
      <c r="D62">
        <v>3.0720000000000001</v>
      </c>
    </row>
    <row r="63" spans="1:4" x14ac:dyDescent="0.3">
      <c r="A63" t="s">
        <v>304</v>
      </c>
      <c r="B63" t="s">
        <v>305</v>
      </c>
      <c r="C63" t="s">
        <v>306</v>
      </c>
      <c r="D63">
        <v>2.4609999999999999</v>
      </c>
    </row>
    <row r="64" spans="1:4" x14ac:dyDescent="0.3">
      <c r="A64" t="s">
        <v>307</v>
      </c>
      <c r="B64" t="s">
        <v>308</v>
      </c>
      <c r="C64" t="s">
        <v>198</v>
      </c>
      <c r="D64">
        <v>0.54300000000000004</v>
      </c>
    </row>
    <row r="65" spans="1:4" x14ac:dyDescent="0.3">
      <c r="A65" t="s">
        <v>309</v>
      </c>
      <c r="B65" t="s">
        <v>310</v>
      </c>
      <c r="C65" t="s">
        <v>311</v>
      </c>
      <c r="D65">
        <v>2.9409999999999998</v>
      </c>
    </row>
    <row r="66" spans="1:4" x14ac:dyDescent="0.3">
      <c r="A66" t="s">
        <v>312</v>
      </c>
      <c r="B66" t="s">
        <v>313</v>
      </c>
      <c r="C66" t="s">
        <v>198</v>
      </c>
      <c r="D66">
        <v>5.7030000000000003</v>
      </c>
    </row>
    <row r="67" spans="1:4" x14ac:dyDescent="0.3">
      <c r="A67" t="s">
        <v>314</v>
      </c>
      <c r="B67" t="s">
        <v>315</v>
      </c>
      <c r="C67" t="s">
        <v>284</v>
      </c>
      <c r="D67">
        <v>3.3010000000000002</v>
      </c>
    </row>
    <row r="68" spans="1:4" x14ac:dyDescent="0.3">
      <c r="A68" t="s">
        <v>316</v>
      </c>
      <c r="B68" t="s">
        <v>317</v>
      </c>
      <c r="C68" t="s">
        <v>318</v>
      </c>
      <c r="D68">
        <v>0.08</v>
      </c>
    </row>
    <row r="69" spans="1:4" x14ac:dyDescent="0.3">
      <c r="A69" t="s">
        <v>321</v>
      </c>
      <c r="B69" t="s">
        <v>322</v>
      </c>
      <c r="C69" t="s">
        <v>199</v>
      </c>
      <c r="D69">
        <v>172.78</v>
      </c>
    </row>
    <row r="70" spans="1:4" x14ac:dyDescent="0.3">
      <c r="A70" t="s">
        <v>323</v>
      </c>
      <c r="B70" t="s">
        <v>324</v>
      </c>
      <c r="C70" t="s">
        <v>325</v>
      </c>
      <c r="D70">
        <v>56.662999999999997</v>
      </c>
    </row>
    <row r="71" spans="1:4" x14ac:dyDescent="0.3">
      <c r="A71" t="s">
        <v>326</v>
      </c>
      <c r="B71" t="s">
        <v>327</v>
      </c>
      <c r="C71" t="s">
        <v>311</v>
      </c>
      <c r="D71">
        <v>4019.07</v>
      </c>
    </row>
    <row r="72" spans="1:4" x14ac:dyDescent="0.3">
      <c r="A72" t="s">
        <v>328</v>
      </c>
      <c r="B72" t="s">
        <v>329</v>
      </c>
      <c r="C72" t="s">
        <v>198</v>
      </c>
      <c r="D72">
        <v>3.7919999999999998</v>
      </c>
    </row>
    <row r="73" spans="1:4" x14ac:dyDescent="0.3">
      <c r="A73" t="s">
        <v>330</v>
      </c>
      <c r="B73" t="s">
        <v>331</v>
      </c>
      <c r="C73" t="s">
        <v>199</v>
      </c>
      <c r="D73">
        <v>46.835000000000001</v>
      </c>
    </row>
    <row r="74" spans="1:4" x14ac:dyDescent="0.3">
      <c r="A74" t="s">
        <v>332</v>
      </c>
      <c r="B74" t="s">
        <v>333</v>
      </c>
      <c r="C74" t="s">
        <v>311</v>
      </c>
      <c r="D74">
        <v>34.634999999999998</v>
      </c>
    </row>
    <row r="75" spans="1:4" x14ac:dyDescent="0.3">
      <c r="A75" t="s">
        <v>334</v>
      </c>
      <c r="B75" t="s">
        <v>335</v>
      </c>
      <c r="C75" t="s">
        <v>198</v>
      </c>
      <c r="D75">
        <v>17.161000000000001</v>
      </c>
    </row>
    <row r="76" spans="1:4" x14ac:dyDescent="0.3">
      <c r="A76" t="s">
        <v>336</v>
      </c>
      <c r="B76" t="s">
        <v>337</v>
      </c>
      <c r="C76" t="s">
        <v>198</v>
      </c>
      <c r="D76">
        <v>171.3</v>
      </c>
    </row>
    <row r="77" spans="1:4" x14ac:dyDescent="0.3">
      <c r="A77" t="s">
        <v>338</v>
      </c>
      <c r="B77" t="s">
        <v>339</v>
      </c>
      <c r="C77" t="s">
        <v>340</v>
      </c>
      <c r="D77">
        <v>12.007999999999999</v>
      </c>
    </row>
    <row r="78" spans="1:4" x14ac:dyDescent="0.3">
      <c r="A78" t="s">
        <v>341</v>
      </c>
      <c r="B78" t="s">
        <v>342</v>
      </c>
      <c r="C78" t="s">
        <v>340</v>
      </c>
      <c r="D78">
        <v>15.103999999999999</v>
      </c>
    </row>
    <row r="79" spans="1:4" x14ac:dyDescent="0.3">
      <c r="A79" t="s">
        <v>343</v>
      </c>
      <c r="B79" t="s">
        <v>344</v>
      </c>
      <c r="C79" t="s">
        <v>199</v>
      </c>
      <c r="D79">
        <v>39.665999999999997</v>
      </c>
    </row>
    <row r="80" spans="1:4" x14ac:dyDescent="0.3">
      <c r="A80" t="s">
        <v>345</v>
      </c>
      <c r="B80" t="s">
        <v>346</v>
      </c>
      <c r="C80" t="s">
        <v>347</v>
      </c>
      <c r="D80">
        <v>1204.989</v>
      </c>
    </row>
    <row r="81" spans="1:4" x14ac:dyDescent="0.3">
      <c r="A81" t="s">
        <v>348</v>
      </c>
      <c r="B81" t="s">
        <v>349</v>
      </c>
      <c r="C81" t="s">
        <v>198</v>
      </c>
      <c r="D81">
        <v>0.44700000000000001</v>
      </c>
    </row>
    <row r="82" spans="1:4" x14ac:dyDescent="0.3">
      <c r="A82" t="s">
        <v>350</v>
      </c>
      <c r="B82" t="s">
        <v>351</v>
      </c>
      <c r="C82" t="s">
        <v>198</v>
      </c>
      <c r="D82">
        <v>361.95400000000001</v>
      </c>
    </row>
    <row r="83" spans="1:4" x14ac:dyDescent="0.3">
      <c r="A83" t="s">
        <v>352</v>
      </c>
      <c r="B83" t="s">
        <v>353</v>
      </c>
      <c r="C83" t="s">
        <v>354</v>
      </c>
      <c r="D83">
        <v>6.0629999999999997</v>
      </c>
    </row>
    <row r="84" spans="1:4" x14ac:dyDescent="0.3">
      <c r="A84" t="s">
        <v>355</v>
      </c>
      <c r="B84" t="s">
        <v>356</v>
      </c>
      <c r="C84" t="s">
        <v>357</v>
      </c>
      <c r="D84">
        <v>8.27</v>
      </c>
    </row>
    <row r="85" spans="1:4" x14ac:dyDescent="0.3">
      <c r="A85" t="s">
        <v>358</v>
      </c>
      <c r="B85" t="s">
        <v>359</v>
      </c>
      <c r="C85" t="s">
        <v>360</v>
      </c>
      <c r="D85">
        <v>11.967000000000001</v>
      </c>
    </row>
    <row r="86" spans="1:4" x14ac:dyDescent="0.3">
      <c r="A86" t="s">
        <v>361</v>
      </c>
      <c r="B86" t="s">
        <v>362</v>
      </c>
      <c r="C86" t="s">
        <v>354</v>
      </c>
      <c r="D86">
        <v>5.0549999999999997</v>
      </c>
    </row>
    <row r="87" spans="1:4" x14ac:dyDescent="0.3">
      <c r="A87" t="s">
        <v>363</v>
      </c>
      <c r="B87" t="s">
        <v>364</v>
      </c>
      <c r="C87" t="s">
        <v>273</v>
      </c>
      <c r="D87">
        <v>4.4909999999999997</v>
      </c>
    </row>
    <row r="88" spans="1:4" x14ac:dyDescent="0.3">
      <c r="A88" t="s">
        <v>365</v>
      </c>
      <c r="B88" t="s">
        <v>366</v>
      </c>
      <c r="C88" t="s">
        <v>198</v>
      </c>
      <c r="D88">
        <v>2.13</v>
      </c>
    </row>
    <row r="89" spans="1:4" x14ac:dyDescent="0.3">
      <c r="A89" t="s">
        <v>367</v>
      </c>
      <c r="B89" t="s">
        <v>368</v>
      </c>
      <c r="C89" t="s">
        <v>198</v>
      </c>
      <c r="D89">
        <v>2.96</v>
      </c>
    </row>
    <row r="90" spans="1:4" x14ac:dyDescent="0.3">
      <c r="A90" t="s">
        <v>369</v>
      </c>
      <c r="B90" t="s">
        <v>370</v>
      </c>
      <c r="C90" t="s">
        <v>371</v>
      </c>
      <c r="D90">
        <v>28.981000000000002</v>
      </c>
    </row>
    <row r="91" spans="1:4" x14ac:dyDescent="0.3">
      <c r="A91" t="s">
        <v>372</v>
      </c>
      <c r="B91" t="s">
        <v>373</v>
      </c>
      <c r="C91" t="s">
        <v>371</v>
      </c>
      <c r="D91">
        <v>54.326000000000001</v>
      </c>
    </row>
    <row r="92" spans="1:4" x14ac:dyDescent="0.3">
      <c r="A92" t="s">
        <v>374</v>
      </c>
      <c r="B92" t="s">
        <v>375</v>
      </c>
      <c r="C92" t="s">
        <v>371</v>
      </c>
      <c r="D92">
        <v>56.411000000000001</v>
      </c>
    </row>
    <row r="93" spans="1:4" x14ac:dyDescent="0.3">
      <c r="A93" t="s">
        <v>376</v>
      </c>
      <c r="B93" t="s">
        <v>377</v>
      </c>
      <c r="C93" t="s">
        <v>378</v>
      </c>
      <c r="D93">
        <v>5594.4219999999996</v>
      </c>
    </row>
    <row r="94" spans="1:4" x14ac:dyDescent="0.3">
      <c r="A94" t="s">
        <v>379</v>
      </c>
      <c r="B94" t="s">
        <v>380</v>
      </c>
      <c r="C94" t="s">
        <v>381</v>
      </c>
      <c r="D94">
        <v>3.847</v>
      </c>
    </row>
    <row r="95" spans="1:4" x14ac:dyDescent="0.3">
      <c r="A95" t="s">
        <v>382</v>
      </c>
      <c r="B95" t="s">
        <v>383</v>
      </c>
      <c r="C95" t="s">
        <v>384</v>
      </c>
      <c r="D95">
        <v>2830.55</v>
      </c>
    </row>
    <row r="96" spans="1:4" x14ac:dyDescent="0.3">
      <c r="A96" t="s">
        <v>385</v>
      </c>
      <c r="B96" t="s">
        <v>386</v>
      </c>
      <c r="C96" t="s">
        <v>387</v>
      </c>
      <c r="D96">
        <v>0.73499999999999999</v>
      </c>
    </row>
    <row r="97" spans="1:4" x14ac:dyDescent="0.3">
      <c r="A97" t="s">
        <v>388</v>
      </c>
      <c r="B97" t="s">
        <v>389</v>
      </c>
      <c r="C97" t="s">
        <v>200</v>
      </c>
      <c r="D97">
        <v>6.6470000000000002</v>
      </c>
    </row>
    <row r="98" spans="1:4" x14ac:dyDescent="0.3">
      <c r="A98" t="s">
        <v>390</v>
      </c>
      <c r="B98" t="s">
        <v>391</v>
      </c>
      <c r="C98" t="s">
        <v>198</v>
      </c>
      <c r="D98">
        <v>113.258</v>
      </c>
    </row>
    <row r="99" spans="1:4" x14ac:dyDescent="0.3">
      <c r="A99" t="s">
        <v>392</v>
      </c>
      <c r="B99" t="s">
        <v>393</v>
      </c>
      <c r="C99" t="s">
        <v>209</v>
      </c>
      <c r="D99">
        <v>2.7320000000000002</v>
      </c>
    </row>
    <row r="100" spans="1:4" x14ac:dyDescent="0.3">
      <c r="A100" t="s">
        <v>394</v>
      </c>
      <c r="B100" t="s">
        <v>1560</v>
      </c>
      <c r="C100" t="s">
        <v>396</v>
      </c>
      <c r="D100">
        <v>0.115</v>
      </c>
    </row>
    <row r="101" spans="1:4" x14ac:dyDescent="0.3">
      <c r="A101" t="s">
        <v>1561</v>
      </c>
      <c r="B101" t="s">
        <v>1562</v>
      </c>
      <c r="C101" t="s">
        <v>396</v>
      </c>
      <c r="D101">
        <v>1.87</v>
      </c>
    </row>
    <row r="102" spans="1:4" x14ac:dyDescent="0.3">
      <c r="A102" t="s">
        <v>397</v>
      </c>
      <c r="B102" t="s">
        <v>398</v>
      </c>
      <c r="C102" t="s">
        <v>381</v>
      </c>
      <c r="D102">
        <v>3.008</v>
      </c>
    </row>
    <row r="103" spans="1:4" x14ac:dyDescent="0.3">
      <c r="A103" t="s">
        <v>399</v>
      </c>
      <c r="B103" t="s">
        <v>400</v>
      </c>
      <c r="C103" t="s">
        <v>284</v>
      </c>
      <c r="D103">
        <v>0.82</v>
      </c>
    </row>
    <row r="104" spans="1:4" x14ac:dyDescent="0.3">
      <c r="A104" t="s">
        <v>1619</v>
      </c>
      <c r="B104" t="s">
        <v>1620</v>
      </c>
      <c r="C104" t="s">
        <v>198</v>
      </c>
      <c r="D104">
        <v>0.72399999999999998</v>
      </c>
    </row>
    <row r="105" spans="1:4" x14ac:dyDescent="0.3">
      <c r="A105" t="s">
        <v>401</v>
      </c>
      <c r="B105" t="s">
        <v>402</v>
      </c>
      <c r="C105" t="s">
        <v>284</v>
      </c>
      <c r="D105">
        <v>1.8120000000000001</v>
      </c>
    </row>
    <row r="106" spans="1:4" x14ac:dyDescent="0.3">
      <c r="A106" t="s">
        <v>403</v>
      </c>
      <c r="B106" t="s">
        <v>404</v>
      </c>
      <c r="C106" t="s">
        <v>405</v>
      </c>
      <c r="D106">
        <v>6.7919999999999998</v>
      </c>
    </row>
    <row r="107" spans="1:4" x14ac:dyDescent="0.3">
      <c r="A107" t="s">
        <v>406</v>
      </c>
      <c r="B107" t="s">
        <v>407</v>
      </c>
      <c r="C107" t="s">
        <v>408</v>
      </c>
      <c r="D107">
        <v>6.4269999999999996</v>
      </c>
    </row>
    <row r="108" spans="1:4" x14ac:dyDescent="0.3">
      <c r="A108" t="s">
        <v>409</v>
      </c>
      <c r="B108" t="s">
        <v>410</v>
      </c>
      <c r="C108" t="s">
        <v>295</v>
      </c>
      <c r="D108">
        <v>0.55900000000000005</v>
      </c>
    </row>
    <row r="109" spans="1:4" x14ac:dyDescent="0.3">
      <c r="A109" t="s">
        <v>411</v>
      </c>
      <c r="B109" t="s">
        <v>412</v>
      </c>
      <c r="C109" t="s">
        <v>413</v>
      </c>
      <c r="D109">
        <v>1.903</v>
      </c>
    </row>
    <row r="110" spans="1:4" x14ac:dyDescent="0.3">
      <c r="A110" t="s">
        <v>414</v>
      </c>
      <c r="B110" t="s">
        <v>415</v>
      </c>
      <c r="C110" t="s">
        <v>405</v>
      </c>
      <c r="D110">
        <v>2.3319999999999999</v>
      </c>
    </row>
    <row r="111" spans="1:4" x14ac:dyDescent="0.3">
      <c r="A111" t="s">
        <v>416</v>
      </c>
      <c r="B111" t="s">
        <v>417</v>
      </c>
      <c r="C111" t="s">
        <v>418</v>
      </c>
      <c r="D111">
        <v>7.2110000000000003</v>
      </c>
    </row>
    <row r="112" spans="1:4" x14ac:dyDescent="0.3">
      <c r="A112" t="s">
        <v>419</v>
      </c>
      <c r="B112" t="s">
        <v>420</v>
      </c>
      <c r="C112" t="s">
        <v>199</v>
      </c>
      <c r="D112">
        <v>3.347</v>
      </c>
    </row>
    <row r="113" spans="1:4" x14ac:dyDescent="0.3">
      <c r="A113" t="s">
        <v>421</v>
      </c>
      <c r="B113" t="s">
        <v>422</v>
      </c>
      <c r="C113" t="s">
        <v>284</v>
      </c>
      <c r="D113">
        <v>1.978</v>
      </c>
    </row>
    <row r="114" spans="1:4" x14ac:dyDescent="0.3">
      <c r="A114" t="s">
        <v>423</v>
      </c>
      <c r="B114" t="s">
        <v>424</v>
      </c>
      <c r="C114" t="s">
        <v>425</v>
      </c>
      <c r="D114">
        <v>92.283000000000001</v>
      </c>
    </row>
    <row r="115" spans="1:4" x14ac:dyDescent="0.3">
      <c r="A115" t="s">
        <v>426</v>
      </c>
      <c r="B115" t="s">
        <v>427</v>
      </c>
      <c r="C115" t="s">
        <v>198</v>
      </c>
      <c r="D115">
        <v>8.1820000000000004</v>
      </c>
    </row>
    <row r="116" spans="1:4" x14ac:dyDescent="0.3">
      <c r="A116" t="s">
        <v>428</v>
      </c>
      <c r="B116" t="s">
        <v>429</v>
      </c>
      <c r="C116" t="s">
        <v>405</v>
      </c>
      <c r="D116">
        <v>35.209000000000003</v>
      </c>
    </row>
    <row r="117" spans="1:4" x14ac:dyDescent="0.3">
      <c r="A117" t="s">
        <v>430</v>
      </c>
      <c r="B117" t="s">
        <v>431</v>
      </c>
      <c r="C117" t="s">
        <v>432</v>
      </c>
      <c r="D117">
        <v>22.818000000000001</v>
      </c>
    </row>
    <row r="118" spans="1:4" x14ac:dyDescent="0.3">
      <c r="A118" t="s">
        <v>433</v>
      </c>
      <c r="B118" t="s">
        <v>434</v>
      </c>
      <c r="C118" t="s">
        <v>198</v>
      </c>
      <c r="D118">
        <v>22.573</v>
      </c>
    </row>
    <row r="119" spans="1:4" x14ac:dyDescent="0.3">
      <c r="A119" t="s">
        <v>435</v>
      </c>
      <c r="B119" t="s">
        <v>436</v>
      </c>
      <c r="C119" t="s">
        <v>437</v>
      </c>
      <c r="D119">
        <v>590.29100000000005</v>
      </c>
    </row>
    <row r="120" spans="1:4" x14ac:dyDescent="0.3">
      <c r="A120" t="s">
        <v>1943</v>
      </c>
      <c r="B120" t="s">
        <v>1944</v>
      </c>
      <c r="C120" t="s">
        <v>1945</v>
      </c>
      <c r="D120">
        <v>2.2559999999999998</v>
      </c>
    </row>
    <row r="121" spans="1:4" x14ac:dyDescent="0.3">
      <c r="A121" t="s">
        <v>438</v>
      </c>
      <c r="B121" t="s">
        <v>439</v>
      </c>
      <c r="C121" t="s">
        <v>295</v>
      </c>
      <c r="D121">
        <v>7.0330000000000004</v>
      </c>
    </row>
    <row r="122" spans="1:4" x14ac:dyDescent="0.3">
      <c r="A122" t="s">
        <v>440</v>
      </c>
      <c r="B122" t="s">
        <v>441</v>
      </c>
      <c r="C122" t="s">
        <v>442</v>
      </c>
      <c r="D122">
        <v>0.99299999999999999</v>
      </c>
    </row>
    <row r="123" spans="1:4" x14ac:dyDescent="0.3">
      <c r="A123" t="s">
        <v>443</v>
      </c>
      <c r="B123" t="s">
        <v>444</v>
      </c>
      <c r="C123" t="s">
        <v>445</v>
      </c>
      <c r="D123">
        <v>13.85</v>
      </c>
    </row>
    <row r="124" spans="1:4" x14ac:dyDescent="0.3">
      <c r="A124" t="s">
        <v>446</v>
      </c>
      <c r="B124" t="s">
        <v>447</v>
      </c>
      <c r="C124" t="s">
        <v>318</v>
      </c>
      <c r="D124">
        <v>52.616</v>
      </c>
    </row>
    <row r="125" spans="1:4" x14ac:dyDescent="0.3">
      <c r="A125" t="s">
        <v>448</v>
      </c>
      <c r="B125" t="s">
        <v>449</v>
      </c>
      <c r="C125" t="s">
        <v>199</v>
      </c>
      <c r="D125">
        <v>5.0720000000000001</v>
      </c>
    </row>
    <row r="126" spans="1:4" x14ac:dyDescent="0.3">
      <c r="A126" t="s">
        <v>1621</v>
      </c>
      <c r="B126" t="s">
        <v>1622</v>
      </c>
      <c r="C126" t="s">
        <v>200</v>
      </c>
      <c r="D126">
        <v>122.425</v>
      </c>
    </row>
    <row r="127" spans="1:4" x14ac:dyDescent="0.3">
      <c r="A127" t="s">
        <v>450</v>
      </c>
      <c r="B127" t="s">
        <v>451</v>
      </c>
      <c r="C127" t="s">
        <v>452</v>
      </c>
      <c r="D127">
        <v>9.57</v>
      </c>
    </row>
    <row r="128" spans="1:4" x14ac:dyDescent="0.3">
      <c r="A128" t="s">
        <v>453</v>
      </c>
      <c r="B128" t="s">
        <v>454</v>
      </c>
      <c r="C128" t="s">
        <v>455</v>
      </c>
      <c r="D128">
        <v>4017.7440000000001</v>
      </c>
    </row>
    <row r="129" spans="1:4" x14ac:dyDescent="0.3">
      <c r="A129" t="s">
        <v>456</v>
      </c>
      <c r="B129" t="s">
        <v>457</v>
      </c>
      <c r="C129" t="s">
        <v>458</v>
      </c>
      <c r="D129">
        <v>32.250999999999998</v>
      </c>
    </row>
    <row r="130" spans="1:4" x14ac:dyDescent="0.3">
      <c r="A130" t="s">
        <v>459</v>
      </c>
      <c r="B130" t="s">
        <v>460</v>
      </c>
      <c r="C130" t="s">
        <v>461</v>
      </c>
      <c r="D130">
        <v>2908.21</v>
      </c>
    </row>
    <row r="131" spans="1:4" x14ac:dyDescent="0.3">
      <c r="A131" t="s">
        <v>1563</v>
      </c>
      <c r="B131" t="s">
        <v>1564</v>
      </c>
      <c r="C131" t="s">
        <v>781</v>
      </c>
      <c r="D131">
        <v>1263.491</v>
      </c>
    </row>
    <row r="132" spans="1:4" x14ac:dyDescent="0.3">
      <c r="A132" t="s">
        <v>462</v>
      </c>
      <c r="B132" t="s">
        <v>463</v>
      </c>
      <c r="C132" t="s">
        <v>464</v>
      </c>
      <c r="D132">
        <v>1467.0150000000001</v>
      </c>
    </row>
    <row r="133" spans="1:4" x14ac:dyDescent="0.3">
      <c r="A133" t="s">
        <v>465</v>
      </c>
      <c r="B133" t="s">
        <v>466</v>
      </c>
      <c r="C133" t="s">
        <v>200</v>
      </c>
      <c r="D133">
        <v>15.393000000000001</v>
      </c>
    </row>
    <row r="134" spans="1:4" x14ac:dyDescent="0.3">
      <c r="A134" t="s">
        <v>467</v>
      </c>
      <c r="B134" t="s">
        <v>468</v>
      </c>
      <c r="C134" t="s">
        <v>198</v>
      </c>
      <c r="D134">
        <v>0.127</v>
      </c>
    </row>
    <row r="135" spans="1:4" x14ac:dyDescent="0.3">
      <c r="A135" t="s">
        <v>469</v>
      </c>
      <c r="B135" t="s">
        <v>470</v>
      </c>
      <c r="C135" t="s">
        <v>452</v>
      </c>
      <c r="D135">
        <v>3.5579999999999998</v>
      </c>
    </row>
    <row r="136" spans="1:4" x14ac:dyDescent="0.3">
      <c r="A136" t="s">
        <v>471</v>
      </c>
      <c r="B136" t="s">
        <v>472</v>
      </c>
      <c r="C136" t="s">
        <v>452</v>
      </c>
      <c r="D136">
        <v>3.5579999999999998</v>
      </c>
    </row>
    <row r="137" spans="1:4" x14ac:dyDescent="0.3">
      <c r="A137" t="s">
        <v>473</v>
      </c>
      <c r="B137" t="s">
        <v>474</v>
      </c>
      <c r="C137" t="s">
        <v>432</v>
      </c>
      <c r="D137">
        <v>8.8239999999999998</v>
      </c>
    </row>
    <row r="138" spans="1:4" x14ac:dyDescent="0.3">
      <c r="A138" t="s">
        <v>475</v>
      </c>
      <c r="B138" t="s">
        <v>476</v>
      </c>
      <c r="C138" t="s">
        <v>452</v>
      </c>
      <c r="D138">
        <v>1.496</v>
      </c>
    </row>
    <row r="139" spans="1:4" x14ac:dyDescent="0.3">
      <c r="A139" t="s">
        <v>477</v>
      </c>
      <c r="B139" t="s">
        <v>478</v>
      </c>
      <c r="C139" t="s">
        <v>452</v>
      </c>
      <c r="D139">
        <v>1.496</v>
      </c>
    </row>
    <row r="140" spans="1:4" x14ac:dyDescent="0.3">
      <c r="A140" t="s">
        <v>479</v>
      </c>
      <c r="B140" t="s">
        <v>480</v>
      </c>
      <c r="C140" t="s">
        <v>198</v>
      </c>
      <c r="D140">
        <v>3.4260000000000002</v>
      </c>
    </row>
    <row r="141" spans="1:4" x14ac:dyDescent="0.3">
      <c r="A141" t="s">
        <v>481</v>
      </c>
      <c r="B141" t="s">
        <v>482</v>
      </c>
      <c r="C141" t="s">
        <v>284</v>
      </c>
      <c r="D141">
        <v>7.9009999999999998</v>
      </c>
    </row>
    <row r="142" spans="1:4" x14ac:dyDescent="0.3">
      <c r="A142" t="s">
        <v>1946</v>
      </c>
      <c r="B142" t="s">
        <v>1947</v>
      </c>
      <c r="C142" t="s">
        <v>458</v>
      </c>
      <c r="D142">
        <v>36.307000000000002</v>
      </c>
    </row>
    <row r="143" spans="1:4" x14ac:dyDescent="0.3">
      <c r="A143" t="s">
        <v>483</v>
      </c>
      <c r="B143" t="s">
        <v>484</v>
      </c>
      <c r="C143" t="s">
        <v>198</v>
      </c>
      <c r="D143">
        <v>20.106999999999999</v>
      </c>
    </row>
    <row r="144" spans="1:4" x14ac:dyDescent="0.3">
      <c r="A144" t="s">
        <v>485</v>
      </c>
      <c r="B144" t="s">
        <v>486</v>
      </c>
      <c r="C144" t="s">
        <v>200</v>
      </c>
      <c r="D144">
        <v>24.052</v>
      </c>
    </row>
    <row r="145" spans="1:4" x14ac:dyDescent="0.3">
      <c r="A145" t="s">
        <v>487</v>
      </c>
      <c r="B145" t="s">
        <v>488</v>
      </c>
      <c r="C145" t="s">
        <v>311</v>
      </c>
      <c r="D145">
        <v>3.3460000000000001</v>
      </c>
    </row>
    <row r="146" spans="1:4" x14ac:dyDescent="0.3">
      <c r="A146" t="s">
        <v>489</v>
      </c>
      <c r="B146" t="s">
        <v>490</v>
      </c>
      <c r="C146" t="s">
        <v>491</v>
      </c>
      <c r="D146">
        <v>5.8040000000000003</v>
      </c>
    </row>
    <row r="147" spans="1:4" x14ac:dyDescent="0.3">
      <c r="A147" t="s">
        <v>492</v>
      </c>
      <c r="B147" t="s">
        <v>493</v>
      </c>
      <c r="C147" t="s">
        <v>494</v>
      </c>
      <c r="D147">
        <v>10.755000000000001</v>
      </c>
    </row>
    <row r="148" spans="1:4" x14ac:dyDescent="0.3">
      <c r="A148" t="s">
        <v>495</v>
      </c>
      <c r="B148" t="s">
        <v>496</v>
      </c>
      <c r="C148" t="s">
        <v>198</v>
      </c>
      <c r="D148">
        <v>0.57099999999999995</v>
      </c>
    </row>
    <row r="149" spans="1:4" x14ac:dyDescent="0.3">
      <c r="A149" t="s">
        <v>497</v>
      </c>
      <c r="B149" t="s">
        <v>498</v>
      </c>
      <c r="C149" t="s">
        <v>198</v>
      </c>
      <c r="D149">
        <v>3.3000000000000002E-2</v>
      </c>
    </row>
    <row r="150" spans="1:4" x14ac:dyDescent="0.3">
      <c r="A150" t="s">
        <v>499</v>
      </c>
      <c r="B150" t="s">
        <v>500</v>
      </c>
      <c r="C150" t="s">
        <v>198</v>
      </c>
      <c r="D150">
        <v>0.14099999999999999</v>
      </c>
    </row>
    <row r="151" spans="1:4" x14ac:dyDescent="0.3">
      <c r="A151" t="s">
        <v>501</v>
      </c>
      <c r="B151" t="s">
        <v>502</v>
      </c>
      <c r="C151" t="s">
        <v>198</v>
      </c>
      <c r="D151">
        <v>57.235999999999997</v>
      </c>
    </row>
    <row r="152" spans="1:4" x14ac:dyDescent="0.3">
      <c r="A152" t="s">
        <v>503</v>
      </c>
      <c r="B152" t="s">
        <v>504</v>
      </c>
      <c r="C152" t="s">
        <v>284</v>
      </c>
      <c r="D152">
        <v>23.376999999999999</v>
      </c>
    </row>
    <row r="153" spans="1:4" x14ac:dyDescent="0.3">
      <c r="A153" t="s">
        <v>505</v>
      </c>
      <c r="B153" t="s">
        <v>506</v>
      </c>
      <c r="C153" t="s">
        <v>396</v>
      </c>
      <c r="D153">
        <v>4.9420000000000002</v>
      </c>
    </row>
    <row r="154" spans="1:4" x14ac:dyDescent="0.3">
      <c r="A154" t="s">
        <v>507</v>
      </c>
      <c r="B154" t="s">
        <v>508</v>
      </c>
      <c r="C154" t="s">
        <v>464</v>
      </c>
      <c r="D154">
        <v>3969.268</v>
      </c>
    </row>
    <row r="155" spans="1:4" x14ac:dyDescent="0.3">
      <c r="A155" t="s">
        <v>509</v>
      </c>
      <c r="B155" t="s">
        <v>510</v>
      </c>
      <c r="C155" t="s">
        <v>209</v>
      </c>
      <c r="D155">
        <v>0.56100000000000005</v>
      </c>
    </row>
    <row r="156" spans="1:4" x14ac:dyDescent="0.3">
      <c r="A156" t="s">
        <v>511</v>
      </c>
      <c r="B156" t="s">
        <v>512</v>
      </c>
      <c r="C156" t="s">
        <v>513</v>
      </c>
      <c r="D156">
        <v>2.7349999999999999</v>
      </c>
    </row>
    <row r="157" spans="1:4" x14ac:dyDescent="0.3">
      <c r="A157" t="s">
        <v>514</v>
      </c>
      <c r="B157" t="s">
        <v>515</v>
      </c>
      <c r="C157" t="s">
        <v>295</v>
      </c>
      <c r="D157">
        <v>195.983</v>
      </c>
    </row>
    <row r="158" spans="1:4" x14ac:dyDescent="0.3">
      <c r="A158" t="s">
        <v>516</v>
      </c>
      <c r="B158" t="s">
        <v>517</v>
      </c>
      <c r="C158" t="s">
        <v>209</v>
      </c>
      <c r="D158">
        <v>0.61599999999999999</v>
      </c>
    </row>
    <row r="159" spans="1:4" x14ac:dyDescent="0.3">
      <c r="A159" t="s">
        <v>518</v>
      </c>
      <c r="B159" t="s">
        <v>519</v>
      </c>
      <c r="C159" t="s">
        <v>284</v>
      </c>
      <c r="D159">
        <v>52.433999999999997</v>
      </c>
    </row>
    <row r="160" spans="1:4" x14ac:dyDescent="0.3">
      <c r="A160" t="s">
        <v>520</v>
      </c>
      <c r="B160" t="s">
        <v>521</v>
      </c>
      <c r="C160" t="s">
        <v>522</v>
      </c>
      <c r="D160">
        <v>635.87300000000005</v>
      </c>
    </row>
    <row r="161" spans="1:4" x14ac:dyDescent="0.3">
      <c r="A161" t="s">
        <v>523</v>
      </c>
      <c r="B161" t="s">
        <v>524</v>
      </c>
      <c r="C161" t="s">
        <v>199</v>
      </c>
      <c r="D161">
        <v>17.937000000000001</v>
      </c>
    </row>
    <row r="162" spans="1:4" x14ac:dyDescent="0.3">
      <c r="A162" t="s">
        <v>525</v>
      </c>
      <c r="B162" t="s">
        <v>526</v>
      </c>
      <c r="C162" t="s">
        <v>209</v>
      </c>
      <c r="D162">
        <v>6.7</v>
      </c>
    </row>
    <row r="163" spans="1:4" x14ac:dyDescent="0.3">
      <c r="A163" t="s">
        <v>527</v>
      </c>
      <c r="B163" t="s">
        <v>528</v>
      </c>
      <c r="C163" t="s">
        <v>199</v>
      </c>
      <c r="D163">
        <v>3.3639999999999999</v>
      </c>
    </row>
    <row r="164" spans="1:4" x14ac:dyDescent="0.3">
      <c r="A164" t="s">
        <v>529</v>
      </c>
      <c r="B164" t="s">
        <v>530</v>
      </c>
      <c r="C164" t="s">
        <v>295</v>
      </c>
      <c r="D164">
        <v>7.1909999999999998</v>
      </c>
    </row>
    <row r="165" spans="1:4" x14ac:dyDescent="0.3">
      <c r="A165" t="s">
        <v>531</v>
      </c>
      <c r="B165" t="s">
        <v>532</v>
      </c>
      <c r="C165" t="s">
        <v>491</v>
      </c>
      <c r="D165">
        <v>0.66</v>
      </c>
    </row>
    <row r="166" spans="1:4" x14ac:dyDescent="0.3">
      <c r="A166" t="s">
        <v>533</v>
      </c>
      <c r="B166" t="s">
        <v>534</v>
      </c>
      <c r="C166" t="s">
        <v>452</v>
      </c>
      <c r="D166">
        <v>0.316</v>
      </c>
    </row>
    <row r="167" spans="1:4" x14ac:dyDescent="0.3">
      <c r="A167" t="s">
        <v>535</v>
      </c>
      <c r="B167" t="s">
        <v>536</v>
      </c>
      <c r="C167" t="s">
        <v>198</v>
      </c>
      <c r="D167">
        <v>492.11700000000002</v>
      </c>
    </row>
    <row r="168" spans="1:4" x14ac:dyDescent="0.3">
      <c r="A168" t="s">
        <v>537</v>
      </c>
      <c r="B168" t="s">
        <v>538</v>
      </c>
      <c r="C168" t="s">
        <v>199</v>
      </c>
      <c r="D168">
        <v>230.316</v>
      </c>
    </row>
    <row r="169" spans="1:4" x14ac:dyDescent="0.3">
      <c r="A169" t="s">
        <v>539</v>
      </c>
      <c r="B169" t="s">
        <v>540</v>
      </c>
      <c r="C169" t="s">
        <v>198</v>
      </c>
      <c r="D169">
        <v>19.895</v>
      </c>
    </row>
    <row r="170" spans="1:4" x14ac:dyDescent="0.3">
      <c r="A170" t="s">
        <v>1565</v>
      </c>
      <c r="B170" t="s">
        <v>1566</v>
      </c>
      <c r="C170" t="s">
        <v>199</v>
      </c>
      <c r="D170">
        <v>226.179</v>
      </c>
    </row>
    <row r="171" spans="1:4" x14ac:dyDescent="0.3">
      <c r="A171" t="s">
        <v>541</v>
      </c>
      <c r="B171" t="s">
        <v>542</v>
      </c>
      <c r="C171" t="s">
        <v>198</v>
      </c>
      <c r="D171">
        <v>245.34200000000001</v>
      </c>
    </row>
    <row r="172" spans="1:4" x14ac:dyDescent="0.3">
      <c r="A172" t="s">
        <v>543</v>
      </c>
      <c r="B172" t="s">
        <v>544</v>
      </c>
      <c r="C172" t="s">
        <v>396</v>
      </c>
      <c r="D172">
        <v>16.428000000000001</v>
      </c>
    </row>
    <row r="173" spans="1:4" x14ac:dyDescent="0.3">
      <c r="A173" t="s">
        <v>545</v>
      </c>
      <c r="B173" t="s">
        <v>546</v>
      </c>
      <c r="C173" t="s">
        <v>284</v>
      </c>
      <c r="D173">
        <v>32.18</v>
      </c>
    </row>
    <row r="174" spans="1:4" x14ac:dyDescent="0.3">
      <c r="A174" t="s">
        <v>547</v>
      </c>
      <c r="B174" t="s">
        <v>548</v>
      </c>
      <c r="C174" t="s">
        <v>284</v>
      </c>
      <c r="D174">
        <v>73.736999999999995</v>
      </c>
    </row>
    <row r="175" spans="1:4" x14ac:dyDescent="0.3">
      <c r="A175" t="s">
        <v>549</v>
      </c>
      <c r="B175" t="s">
        <v>550</v>
      </c>
      <c r="C175" t="s">
        <v>199</v>
      </c>
      <c r="D175">
        <v>11.505000000000001</v>
      </c>
    </row>
    <row r="176" spans="1:4" x14ac:dyDescent="0.3">
      <c r="A176" t="s">
        <v>551</v>
      </c>
      <c r="B176" t="s">
        <v>552</v>
      </c>
      <c r="C176" t="s">
        <v>553</v>
      </c>
      <c r="D176">
        <v>325.50700000000001</v>
      </c>
    </row>
    <row r="177" spans="1:4" x14ac:dyDescent="0.3">
      <c r="A177" t="s">
        <v>554</v>
      </c>
      <c r="B177" t="s">
        <v>555</v>
      </c>
      <c r="C177" t="s">
        <v>257</v>
      </c>
      <c r="D177">
        <v>444.09899999999999</v>
      </c>
    </row>
    <row r="178" spans="1:4" x14ac:dyDescent="0.3">
      <c r="A178" t="s">
        <v>556</v>
      </c>
      <c r="B178" t="s">
        <v>557</v>
      </c>
      <c r="C178" t="s">
        <v>198</v>
      </c>
      <c r="D178">
        <v>1.1299999999999999</v>
      </c>
    </row>
    <row r="179" spans="1:4" x14ac:dyDescent="0.3">
      <c r="A179" t="s">
        <v>558</v>
      </c>
      <c r="B179" t="s">
        <v>559</v>
      </c>
      <c r="C179" t="s">
        <v>452</v>
      </c>
      <c r="D179">
        <v>0.93799999999999994</v>
      </c>
    </row>
    <row r="180" spans="1:4" x14ac:dyDescent="0.3">
      <c r="A180" t="s">
        <v>560</v>
      </c>
      <c r="B180" t="s">
        <v>561</v>
      </c>
      <c r="C180" t="s">
        <v>452</v>
      </c>
      <c r="D180">
        <v>0.45900000000000002</v>
      </c>
    </row>
    <row r="181" spans="1:4" x14ac:dyDescent="0.3">
      <c r="A181" t="s">
        <v>562</v>
      </c>
      <c r="B181" t="s">
        <v>563</v>
      </c>
      <c r="C181" t="s">
        <v>442</v>
      </c>
      <c r="D181">
        <v>3.3210000000000002</v>
      </c>
    </row>
    <row r="182" spans="1:4" x14ac:dyDescent="0.3">
      <c r="A182" t="s">
        <v>564</v>
      </c>
      <c r="B182" t="s">
        <v>565</v>
      </c>
      <c r="C182" t="s">
        <v>198</v>
      </c>
      <c r="D182">
        <v>0.41699999999999998</v>
      </c>
    </row>
    <row r="183" spans="1:4" x14ac:dyDescent="0.3">
      <c r="A183" t="s">
        <v>566</v>
      </c>
      <c r="B183" t="s">
        <v>567</v>
      </c>
      <c r="C183" t="s">
        <v>458</v>
      </c>
      <c r="D183">
        <v>695.55799999999999</v>
      </c>
    </row>
    <row r="184" spans="1:4" x14ac:dyDescent="0.3">
      <c r="A184" t="s">
        <v>568</v>
      </c>
      <c r="B184" t="s">
        <v>569</v>
      </c>
      <c r="C184" t="s">
        <v>198</v>
      </c>
      <c r="D184">
        <v>404.072</v>
      </c>
    </row>
    <row r="185" spans="1:4" x14ac:dyDescent="0.3">
      <c r="A185" t="s">
        <v>570</v>
      </c>
      <c r="B185" t="s">
        <v>571</v>
      </c>
      <c r="C185" t="s">
        <v>284</v>
      </c>
      <c r="D185">
        <v>42.427</v>
      </c>
    </row>
    <row r="186" spans="1:4" x14ac:dyDescent="0.3">
      <c r="A186" t="s">
        <v>572</v>
      </c>
      <c r="B186" t="s">
        <v>573</v>
      </c>
      <c r="C186" t="s">
        <v>574</v>
      </c>
      <c r="D186">
        <v>43.295999999999999</v>
      </c>
    </row>
    <row r="187" spans="1:4" x14ac:dyDescent="0.3">
      <c r="A187" t="s">
        <v>575</v>
      </c>
      <c r="B187" t="s">
        <v>576</v>
      </c>
      <c r="C187" t="s">
        <v>257</v>
      </c>
      <c r="D187">
        <v>13.944000000000001</v>
      </c>
    </row>
    <row r="188" spans="1:4" x14ac:dyDescent="0.3">
      <c r="A188" t="s">
        <v>577</v>
      </c>
      <c r="B188" t="s">
        <v>578</v>
      </c>
      <c r="C188" t="s">
        <v>284</v>
      </c>
      <c r="D188">
        <v>70.489999999999995</v>
      </c>
    </row>
    <row r="189" spans="1:4" x14ac:dyDescent="0.3">
      <c r="A189" t="s">
        <v>579</v>
      </c>
      <c r="B189" t="s">
        <v>580</v>
      </c>
      <c r="C189" t="s">
        <v>284</v>
      </c>
      <c r="D189">
        <v>49.81</v>
      </c>
    </row>
    <row r="190" spans="1:4" x14ac:dyDescent="0.3">
      <c r="A190" t="s">
        <v>1623</v>
      </c>
      <c r="B190" t="s">
        <v>1624</v>
      </c>
      <c r="C190" t="s">
        <v>257</v>
      </c>
      <c r="D190">
        <v>14.686999999999999</v>
      </c>
    </row>
    <row r="191" spans="1:4" x14ac:dyDescent="0.3">
      <c r="A191" t="s">
        <v>581</v>
      </c>
      <c r="B191" t="s">
        <v>582</v>
      </c>
      <c r="C191" t="s">
        <v>257</v>
      </c>
      <c r="D191">
        <v>11.093999999999999</v>
      </c>
    </row>
    <row r="192" spans="1:4" x14ac:dyDescent="0.3">
      <c r="A192" t="s">
        <v>583</v>
      </c>
      <c r="B192" t="s">
        <v>584</v>
      </c>
      <c r="C192" t="s">
        <v>585</v>
      </c>
      <c r="D192">
        <v>432.95699999999999</v>
      </c>
    </row>
    <row r="193" spans="1:4" x14ac:dyDescent="0.3">
      <c r="A193" t="s">
        <v>586</v>
      </c>
      <c r="B193" t="s">
        <v>587</v>
      </c>
      <c r="C193" t="s">
        <v>284</v>
      </c>
      <c r="D193">
        <v>43.673000000000002</v>
      </c>
    </row>
    <row r="194" spans="1:4" x14ac:dyDescent="0.3">
      <c r="A194" t="s">
        <v>588</v>
      </c>
      <c r="B194" t="s">
        <v>589</v>
      </c>
      <c r="C194" t="s">
        <v>284</v>
      </c>
      <c r="D194">
        <v>66.971999999999994</v>
      </c>
    </row>
    <row r="195" spans="1:4" x14ac:dyDescent="0.3">
      <c r="A195" t="s">
        <v>590</v>
      </c>
      <c r="B195" t="s">
        <v>591</v>
      </c>
      <c r="C195" t="s">
        <v>284</v>
      </c>
      <c r="D195">
        <v>41.631999999999998</v>
      </c>
    </row>
    <row r="196" spans="1:4" x14ac:dyDescent="0.3">
      <c r="A196" t="s">
        <v>592</v>
      </c>
      <c r="B196" t="s">
        <v>593</v>
      </c>
      <c r="C196" t="s">
        <v>284</v>
      </c>
      <c r="D196">
        <v>43.625999999999998</v>
      </c>
    </row>
    <row r="197" spans="1:4" x14ac:dyDescent="0.3">
      <c r="A197" t="s">
        <v>594</v>
      </c>
      <c r="B197" t="s">
        <v>595</v>
      </c>
      <c r="C197" t="s">
        <v>284</v>
      </c>
      <c r="D197">
        <v>46.503</v>
      </c>
    </row>
    <row r="198" spans="1:4" x14ac:dyDescent="0.3">
      <c r="A198" t="s">
        <v>596</v>
      </c>
      <c r="B198" t="s">
        <v>597</v>
      </c>
      <c r="C198" t="s">
        <v>216</v>
      </c>
      <c r="D198">
        <v>65.605000000000004</v>
      </c>
    </row>
    <row r="199" spans="1:4" x14ac:dyDescent="0.3">
      <c r="A199" t="s">
        <v>598</v>
      </c>
      <c r="B199" t="s">
        <v>599</v>
      </c>
      <c r="C199" t="s">
        <v>284</v>
      </c>
      <c r="D199">
        <v>36.859000000000002</v>
      </c>
    </row>
    <row r="200" spans="1:4" x14ac:dyDescent="0.3">
      <c r="A200" t="s">
        <v>600</v>
      </c>
      <c r="B200" t="s">
        <v>601</v>
      </c>
      <c r="C200" t="s">
        <v>257</v>
      </c>
      <c r="D200">
        <v>14.336</v>
      </c>
    </row>
    <row r="201" spans="1:4" x14ac:dyDescent="0.3">
      <c r="A201" t="s">
        <v>602</v>
      </c>
      <c r="B201" t="s">
        <v>603</v>
      </c>
      <c r="C201" t="s">
        <v>494</v>
      </c>
      <c r="D201">
        <v>1.778</v>
      </c>
    </row>
    <row r="202" spans="1:4" x14ac:dyDescent="0.3">
      <c r="A202" t="s">
        <v>604</v>
      </c>
      <c r="B202" t="s">
        <v>605</v>
      </c>
      <c r="C202" t="s">
        <v>198</v>
      </c>
      <c r="D202">
        <v>18.123999999999999</v>
      </c>
    </row>
    <row r="203" spans="1:4" x14ac:dyDescent="0.3">
      <c r="A203" t="s">
        <v>606</v>
      </c>
      <c r="B203" t="s">
        <v>607</v>
      </c>
      <c r="C203" t="s">
        <v>198</v>
      </c>
      <c r="D203">
        <v>194.42</v>
      </c>
    </row>
    <row r="204" spans="1:4" x14ac:dyDescent="0.3">
      <c r="A204" t="s">
        <v>608</v>
      </c>
      <c r="B204" t="s">
        <v>609</v>
      </c>
      <c r="C204" t="s">
        <v>610</v>
      </c>
      <c r="D204">
        <v>0.222</v>
      </c>
    </row>
    <row r="205" spans="1:4" x14ac:dyDescent="0.3">
      <c r="A205" t="s">
        <v>611</v>
      </c>
      <c r="B205" t="s">
        <v>612</v>
      </c>
      <c r="C205" t="s">
        <v>273</v>
      </c>
      <c r="D205">
        <v>7.734</v>
      </c>
    </row>
    <row r="206" spans="1:4" x14ac:dyDescent="0.3">
      <c r="A206" t="s">
        <v>613</v>
      </c>
      <c r="B206" t="s">
        <v>614</v>
      </c>
      <c r="C206" t="s">
        <v>200</v>
      </c>
      <c r="D206">
        <v>0.89300000000000002</v>
      </c>
    </row>
    <row r="207" spans="1:4" x14ac:dyDescent="0.3">
      <c r="A207" t="s">
        <v>615</v>
      </c>
      <c r="B207" t="s">
        <v>616</v>
      </c>
      <c r="C207" t="s">
        <v>209</v>
      </c>
      <c r="D207">
        <v>14.157</v>
      </c>
    </row>
    <row r="208" spans="1:4" x14ac:dyDescent="0.3">
      <c r="A208" t="s">
        <v>617</v>
      </c>
      <c r="B208" t="s">
        <v>618</v>
      </c>
      <c r="C208" t="s">
        <v>198</v>
      </c>
      <c r="D208">
        <v>24.431000000000001</v>
      </c>
    </row>
    <row r="209" spans="1:4" x14ac:dyDescent="0.3">
      <c r="A209" t="s">
        <v>619</v>
      </c>
      <c r="B209" t="s">
        <v>620</v>
      </c>
      <c r="C209" t="s">
        <v>371</v>
      </c>
      <c r="D209">
        <v>1.4E-2</v>
      </c>
    </row>
    <row r="210" spans="1:4" x14ac:dyDescent="0.3">
      <c r="A210" t="s">
        <v>621</v>
      </c>
      <c r="B210" t="s">
        <v>622</v>
      </c>
      <c r="C210" t="s">
        <v>432</v>
      </c>
      <c r="D210">
        <v>0.32</v>
      </c>
    </row>
    <row r="211" spans="1:4" x14ac:dyDescent="0.3">
      <c r="A211" t="s">
        <v>623</v>
      </c>
      <c r="B211" t="s">
        <v>624</v>
      </c>
      <c r="C211" t="s">
        <v>625</v>
      </c>
      <c r="D211">
        <v>9.4730000000000008</v>
      </c>
    </row>
    <row r="212" spans="1:4" x14ac:dyDescent="0.3">
      <c r="A212" t="s">
        <v>626</v>
      </c>
      <c r="B212" t="s">
        <v>627</v>
      </c>
      <c r="C212" t="s">
        <v>199</v>
      </c>
      <c r="D212">
        <v>0.80200000000000005</v>
      </c>
    </row>
    <row r="213" spans="1:4" x14ac:dyDescent="0.3">
      <c r="A213" t="s">
        <v>628</v>
      </c>
      <c r="B213" t="s">
        <v>629</v>
      </c>
      <c r="C213" t="s">
        <v>396</v>
      </c>
      <c r="D213">
        <v>1.708</v>
      </c>
    </row>
    <row r="214" spans="1:4" x14ac:dyDescent="0.3">
      <c r="A214" t="s">
        <v>630</v>
      </c>
      <c r="B214" t="s">
        <v>631</v>
      </c>
      <c r="C214" t="s">
        <v>632</v>
      </c>
      <c r="D214">
        <v>469.95</v>
      </c>
    </row>
    <row r="215" spans="1:4" x14ac:dyDescent="0.3">
      <c r="A215" t="s">
        <v>633</v>
      </c>
      <c r="B215" t="s">
        <v>634</v>
      </c>
      <c r="C215" t="s">
        <v>257</v>
      </c>
      <c r="D215">
        <v>14.154</v>
      </c>
    </row>
    <row r="216" spans="1:4" x14ac:dyDescent="0.3">
      <c r="A216" t="s">
        <v>635</v>
      </c>
      <c r="B216" t="s">
        <v>636</v>
      </c>
      <c r="C216" t="s">
        <v>198</v>
      </c>
      <c r="D216">
        <v>41.539000000000001</v>
      </c>
    </row>
    <row r="217" spans="1:4" x14ac:dyDescent="0.3">
      <c r="A217" t="s">
        <v>637</v>
      </c>
      <c r="B217" t="s">
        <v>638</v>
      </c>
      <c r="C217" t="s">
        <v>198</v>
      </c>
      <c r="D217">
        <v>273.15600000000001</v>
      </c>
    </row>
    <row r="218" spans="1:4" x14ac:dyDescent="0.3">
      <c r="A218" t="s">
        <v>639</v>
      </c>
      <c r="B218" t="s">
        <v>640</v>
      </c>
      <c r="C218" t="s">
        <v>198</v>
      </c>
      <c r="D218">
        <v>542.91700000000003</v>
      </c>
    </row>
    <row r="219" spans="1:4" x14ac:dyDescent="0.3">
      <c r="A219" t="s">
        <v>641</v>
      </c>
      <c r="B219" t="s">
        <v>642</v>
      </c>
      <c r="C219" t="s">
        <v>199</v>
      </c>
      <c r="D219">
        <v>44.902000000000001</v>
      </c>
    </row>
    <row r="220" spans="1:4" x14ac:dyDescent="0.3">
      <c r="A220" t="s">
        <v>1567</v>
      </c>
      <c r="B220" t="s">
        <v>1568</v>
      </c>
      <c r="C220" t="s">
        <v>199</v>
      </c>
      <c r="D220">
        <v>64.05</v>
      </c>
    </row>
    <row r="221" spans="1:4" x14ac:dyDescent="0.3">
      <c r="A221" t="s">
        <v>643</v>
      </c>
      <c r="B221" t="s">
        <v>644</v>
      </c>
      <c r="C221" t="s">
        <v>209</v>
      </c>
      <c r="D221">
        <v>15.054</v>
      </c>
    </row>
    <row r="222" spans="1:4" x14ac:dyDescent="0.3">
      <c r="A222" t="s">
        <v>645</v>
      </c>
      <c r="B222" t="s">
        <v>646</v>
      </c>
      <c r="C222" t="s">
        <v>198</v>
      </c>
      <c r="D222">
        <v>0.215</v>
      </c>
    </row>
    <row r="223" spans="1:4" x14ac:dyDescent="0.3">
      <c r="A223" t="s">
        <v>647</v>
      </c>
      <c r="B223" t="s">
        <v>648</v>
      </c>
      <c r="C223" t="s">
        <v>371</v>
      </c>
      <c r="D223">
        <v>43.38</v>
      </c>
    </row>
    <row r="224" spans="1:4" x14ac:dyDescent="0.3">
      <c r="A224" t="s">
        <v>649</v>
      </c>
      <c r="B224" t="s">
        <v>650</v>
      </c>
      <c r="C224" t="s">
        <v>198</v>
      </c>
      <c r="D224">
        <v>3.4470000000000001</v>
      </c>
    </row>
    <row r="225" spans="1:4" x14ac:dyDescent="0.3">
      <c r="A225" t="s">
        <v>651</v>
      </c>
      <c r="B225" t="s">
        <v>652</v>
      </c>
      <c r="C225" t="s">
        <v>653</v>
      </c>
      <c r="D225">
        <v>0.89</v>
      </c>
    </row>
    <row r="226" spans="1:4" x14ac:dyDescent="0.3">
      <c r="A226" t="s">
        <v>654</v>
      </c>
      <c r="B226" t="s">
        <v>655</v>
      </c>
      <c r="C226" t="s">
        <v>656</v>
      </c>
      <c r="D226">
        <v>10.897</v>
      </c>
    </row>
    <row r="227" spans="1:4" x14ac:dyDescent="0.3">
      <c r="A227" t="s">
        <v>657</v>
      </c>
      <c r="B227" t="s">
        <v>658</v>
      </c>
      <c r="C227" t="s">
        <v>659</v>
      </c>
      <c r="D227">
        <v>0.38600000000000001</v>
      </c>
    </row>
    <row r="228" spans="1:4" x14ac:dyDescent="0.3">
      <c r="A228" t="s">
        <v>660</v>
      </c>
      <c r="B228" t="s">
        <v>661</v>
      </c>
      <c r="C228" t="s">
        <v>198</v>
      </c>
      <c r="D228">
        <v>68.462999999999994</v>
      </c>
    </row>
    <row r="229" spans="1:4" x14ac:dyDescent="0.3">
      <c r="A229" t="s">
        <v>662</v>
      </c>
      <c r="B229" t="s">
        <v>663</v>
      </c>
      <c r="C229" t="s">
        <v>273</v>
      </c>
      <c r="D229">
        <v>33.122999999999998</v>
      </c>
    </row>
    <row r="230" spans="1:4" x14ac:dyDescent="0.3">
      <c r="A230" t="s">
        <v>664</v>
      </c>
      <c r="B230" t="s">
        <v>665</v>
      </c>
      <c r="C230" t="s">
        <v>311</v>
      </c>
      <c r="D230">
        <v>0.64900000000000002</v>
      </c>
    </row>
    <row r="231" spans="1:4" x14ac:dyDescent="0.3">
      <c r="A231" t="s">
        <v>1569</v>
      </c>
      <c r="B231" t="s">
        <v>1570</v>
      </c>
      <c r="C231" t="s">
        <v>198</v>
      </c>
      <c r="D231">
        <v>2.91</v>
      </c>
    </row>
    <row r="232" spans="1:4" x14ac:dyDescent="0.3">
      <c r="A232" t="s">
        <v>1571</v>
      </c>
      <c r="B232" t="s">
        <v>1572</v>
      </c>
      <c r="C232" t="s">
        <v>198</v>
      </c>
      <c r="D232">
        <v>2.9039999999999999</v>
      </c>
    </row>
    <row r="233" spans="1:4" x14ac:dyDescent="0.3">
      <c r="A233" t="s">
        <v>668</v>
      </c>
      <c r="B233" t="s">
        <v>669</v>
      </c>
      <c r="C233" t="s">
        <v>670</v>
      </c>
      <c r="D233">
        <v>1582.1320000000001</v>
      </c>
    </row>
    <row r="234" spans="1:4" x14ac:dyDescent="0.3">
      <c r="A234" t="s">
        <v>671</v>
      </c>
      <c r="B234" t="s">
        <v>672</v>
      </c>
      <c r="C234" t="s">
        <v>199</v>
      </c>
      <c r="D234">
        <v>0.11899999999999999</v>
      </c>
    </row>
    <row r="235" spans="1:4" x14ac:dyDescent="0.3">
      <c r="A235" t="s">
        <v>673</v>
      </c>
      <c r="B235" t="s">
        <v>674</v>
      </c>
      <c r="C235" t="s">
        <v>405</v>
      </c>
      <c r="D235">
        <v>20.99</v>
      </c>
    </row>
    <row r="236" spans="1:4" x14ac:dyDescent="0.3">
      <c r="A236" t="s">
        <v>675</v>
      </c>
      <c r="B236" t="s">
        <v>676</v>
      </c>
      <c r="C236" t="s">
        <v>295</v>
      </c>
      <c r="D236">
        <v>0.38500000000000001</v>
      </c>
    </row>
    <row r="237" spans="1:4" x14ac:dyDescent="0.3">
      <c r="A237" t="s">
        <v>677</v>
      </c>
      <c r="B237" t="s">
        <v>678</v>
      </c>
      <c r="C237" t="s">
        <v>458</v>
      </c>
      <c r="D237">
        <v>30.69</v>
      </c>
    </row>
    <row r="238" spans="1:4" x14ac:dyDescent="0.3">
      <c r="A238" t="s">
        <v>679</v>
      </c>
      <c r="B238" t="s">
        <v>680</v>
      </c>
      <c r="C238" t="s">
        <v>199</v>
      </c>
      <c r="D238">
        <v>2.4E-2</v>
      </c>
    </row>
    <row r="239" spans="1:4" x14ac:dyDescent="0.3">
      <c r="A239" t="s">
        <v>681</v>
      </c>
      <c r="B239" t="s">
        <v>682</v>
      </c>
      <c r="C239" t="s">
        <v>683</v>
      </c>
      <c r="D239">
        <v>13.209</v>
      </c>
    </row>
    <row r="240" spans="1:4" x14ac:dyDescent="0.3">
      <c r="A240" t="s">
        <v>684</v>
      </c>
      <c r="B240" t="s">
        <v>685</v>
      </c>
      <c r="C240" t="s">
        <v>442</v>
      </c>
      <c r="D240">
        <v>7.069</v>
      </c>
    </row>
    <row r="241" spans="1:4" x14ac:dyDescent="0.3">
      <c r="A241" t="s">
        <v>686</v>
      </c>
      <c r="B241" t="s">
        <v>687</v>
      </c>
      <c r="C241" t="s">
        <v>688</v>
      </c>
      <c r="D241">
        <v>0.71599999999999997</v>
      </c>
    </row>
    <row r="242" spans="1:4" x14ac:dyDescent="0.3">
      <c r="A242" t="s">
        <v>689</v>
      </c>
      <c r="B242" t="s">
        <v>690</v>
      </c>
      <c r="C242" t="s">
        <v>522</v>
      </c>
      <c r="D242">
        <v>2.3759999999999999</v>
      </c>
    </row>
    <row r="243" spans="1:4" x14ac:dyDescent="0.3">
      <c r="A243" t="s">
        <v>691</v>
      </c>
      <c r="B243" t="s">
        <v>692</v>
      </c>
      <c r="C243" t="s">
        <v>257</v>
      </c>
      <c r="D243">
        <v>5.3410000000000002</v>
      </c>
    </row>
    <row r="244" spans="1:4" x14ac:dyDescent="0.3">
      <c r="A244" t="s">
        <v>693</v>
      </c>
      <c r="B244" t="s">
        <v>694</v>
      </c>
      <c r="C244" t="s">
        <v>198</v>
      </c>
      <c r="D244">
        <v>28.856999999999999</v>
      </c>
    </row>
    <row r="245" spans="1:4" x14ac:dyDescent="0.3">
      <c r="A245" t="s">
        <v>695</v>
      </c>
      <c r="B245" t="s">
        <v>696</v>
      </c>
      <c r="C245" t="s">
        <v>257</v>
      </c>
      <c r="D245">
        <v>0.76300000000000001</v>
      </c>
    </row>
    <row r="246" spans="1:4" x14ac:dyDescent="0.3">
      <c r="A246" t="s">
        <v>697</v>
      </c>
      <c r="B246" t="s">
        <v>698</v>
      </c>
      <c r="C246" t="s">
        <v>699</v>
      </c>
      <c r="D246">
        <v>19.305</v>
      </c>
    </row>
    <row r="247" spans="1:4" x14ac:dyDescent="0.3">
      <c r="A247" t="s">
        <v>700</v>
      </c>
      <c r="B247" t="s">
        <v>701</v>
      </c>
      <c r="C247" t="s">
        <v>198</v>
      </c>
      <c r="D247">
        <v>1.087</v>
      </c>
    </row>
    <row r="248" spans="1:4" x14ac:dyDescent="0.3">
      <c r="A248" t="s">
        <v>702</v>
      </c>
      <c r="B248" t="s">
        <v>703</v>
      </c>
      <c r="C248" t="s">
        <v>198</v>
      </c>
      <c r="D248">
        <v>0.11600000000000001</v>
      </c>
    </row>
    <row r="249" spans="1:4" x14ac:dyDescent="0.3">
      <c r="A249" t="s">
        <v>704</v>
      </c>
      <c r="B249" t="s">
        <v>705</v>
      </c>
      <c r="C249" t="s">
        <v>200</v>
      </c>
      <c r="D249">
        <v>1.7490000000000001</v>
      </c>
    </row>
    <row r="250" spans="1:4" x14ac:dyDescent="0.3">
      <c r="A250" t="s">
        <v>706</v>
      </c>
      <c r="B250" t="s">
        <v>707</v>
      </c>
      <c r="C250" t="s">
        <v>199</v>
      </c>
      <c r="D250">
        <v>3.149</v>
      </c>
    </row>
    <row r="251" spans="1:4" x14ac:dyDescent="0.3">
      <c r="A251" t="s">
        <v>708</v>
      </c>
      <c r="B251" t="s">
        <v>709</v>
      </c>
      <c r="C251" t="s">
        <v>199</v>
      </c>
      <c r="D251">
        <v>11.513</v>
      </c>
    </row>
    <row r="252" spans="1:4" x14ac:dyDescent="0.3">
      <c r="A252" t="s">
        <v>710</v>
      </c>
      <c r="B252" t="s">
        <v>711</v>
      </c>
      <c r="C252" t="s">
        <v>452</v>
      </c>
      <c r="D252">
        <v>8.48</v>
      </c>
    </row>
    <row r="253" spans="1:4" x14ac:dyDescent="0.3">
      <c r="A253" t="s">
        <v>712</v>
      </c>
      <c r="B253" t="s">
        <v>713</v>
      </c>
      <c r="C253" t="s">
        <v>257</v>
      </c>
      <c r="D253">
        <v>9.1869999999999994</v>
      </c>
    </row>
    <row r="254" spans="1:4" x14ac:dyDescent="0.3">
      <c r="A254" t="s">
        <v>714</v>
      </c>
      <c r="B254" t="s">
        <v>715</v>
      </c>
      <c r="C254" t="s">
        <v>199</v>
      </c>
      <c r="D254">
        <v>3.339</v>
      </c>
    </row>
    <row r="255" spans="1:4" x14ac:dyDescent="0.3">
      <c r="A255" t="s">
        <v>716</v>
      </c>
      <c r="B255" t="s">
        <v>717</v>
      </c>
      <c r="C255" t="s">
        <v>198</v>
      </c>
      <c r="D255">
        <v>11.942</v>
      </c>
    </row>
    <row r="256" spans="1:4" x14ac:dyDescent="0.3">
      <c r="A256" t="s">
        <v>718</v>
      </c>
      <c r="B256" t="s">
        <v>719</v>
      </c>
      <c r="C256" t="s">
        <v>198</v>
      </c>
      <c r="D256">
        <v>3.4279999999999999</v>
      </c>
    </row>
    <row r="257" spans="1:4" x14ac:dyDescent="0.3">
      <c r="A257" t="s">
        <v>720</v>
      </c>
      <c r="B257" t="s">
        <v>721</v>
      </c>
      <c r="C257" t="s">
        <v>198</v>
      </c>
      <c r="D257">
        <v>22.385000000000002</v>
      </c>
    </row>
    <row r="258" spans="1:4" x14ac:dyDescent="0.3">
      <c r="A258" t="s">
        <v>722</v>
      </c>
      <c r="B258" t="s">
        <v>723</v>
      </c>
      <c r="C258" t="s">
        <v>198</v>
      </c>
      <c r="D258">
        <v>57.326000000000001</v>
      </c>
    </row>
    <row r="259" spans="1:4" x14ac:dyDescent="0.3">
      <c r="A259" t="s">
        <v>724</v>
      </c>
      <c r="B259" t="s">
        <v>725</v>
      </c>
      <c r="C259" t="s">
        <v>198</v>
      </c>
      <c r="D259">
        <v>205.65799999999999</v>
      </c>
    </row>
    <row r="260" spans="1:4" x14ac:dyDescent="0.3">
      <c r="A260" t="s">
        <v>726</v>
      </c>
      <c r="B260" t="s">
        <v>727</v>
      </c>
      <c r="C260" t="s">
        <v>728</v>
      </c>
      <c r="D260">
        <v>0.73699999999999999</v>
      </c>
    </row>
    <row r="261" spans="1:4" x14ac:dyDescent="0.3">
      <c r="A261" t="s">
        <v>729</v>
      </c>
      <c r="B261" t="s">
        <v>730</v>
      </c>
      <c r="C261" t="s">
        <v>200</v>
      </c>
      <c r="D261">
        <v>37.415999999999997</v>
      </c>
    </row>
    <row r="262" spans="1:4" x14ac:dyDescent="0.3">
      <c r="A262" t="s">
        <v>731</v>
      </c>
      <c r="B262" t="s">
        <v>732</v>
      </c>
      <c r="C262" t="s">
        <v>198</v>
      </c>
      <c r="D262">
        <v>2.9169999999999998</v>
      </c>
    </row>
    <row r="263" spans="1:4" x14ac:dyDescent="0.3">
      <c r="A263" t="s">
        <v>733</v>
      </c>
      <c r="B263" t="s">
        <v>734</v>
      </c>
      <c r="C263" t="s">
        <v>735</v>
      </c>
      <c r="D263">
        <v>6.8330000000000002</v>
      </c>
    </row>
    <row r="264" spans="1:4" x14ac:dyDescent="0.3">
      <c r="A264" t="s">
        <v>736</v>
      </c>
      <c r="B264" t="s">
        <v>737</v>
      </c>
      <c r="C264" t="s">
        <v>738</v>
      </c>
      <c r="D264">
        <v>31.402999999999999</v>
      </c>
    </row>
    <row r="265" spans="1:4" x14ac:dyDescent="0.3">
      <c r="A265" t="s">
        <v>739</v>
      </c>
      <c r="B265" t="s">
        <v>740</v>
      </c>
      <c r="C265" t="s">
        <v>198</v>
      </c>
      <c r="D265">
        <v>9.2999999999999999E-2</v>
      </c>
    </row>
    <row r="266" spans="1:4" x14ac:dyDescent="0.3">
      <c r="A266" t="s">
        <v>741</v>
      </c>
      <c r="B266" t="s">
        <v>742</v>
      </c>
      <c r="C266" t="s">
        <v>199</v>
      </c>
      <c r="D266">
        <v>23.818000000000001</v>
      </c>
    </row>
    <row r="267" spans="1:4" x14ac:dyDescent="0.3">
      <c r="A267" t="s">
        <v>743</v>
      </c>
      <c r="B267" t="s">
        <v>744</v>
      </c>
      <c r="C267" t="s">
        <v>325</v>
      </c>
      <c r="D267">
        <v>22.821000000000002</v>
      </c>
    </row>
    <row r="268" spans="1:4" x14ac:dyDescent="0.3">
      <c r="A268" t="s">
        <v>745</v>
      </c>
      <c r="B268" t="s">
        <v>746</v>
      </c>
      <c r="C268" t="s">
        <v>198</v>
      </c>
      <c r="D268">
        <v>12.122</v>
      </c>
    </row>
    <row r="269" spans="1:4" x14ac:dyDescent="0.3">
      <c r="A269" t="s">
        <v>747</v>
      </c>
      <c r="B269" t="s">
        <v>748</v>
      </c>
      <c r="C269" t="s">
        <v>749</v>
      </c>
      <c r="D269">
        <v>10.704000000000001</v>
      </c>
    </row>
    <row r="270" spans="1:4" x14ac:dyDescent="0.3">
      <c r="A270" t="s">
        <v>750</v>
      </c>
      <c r="B270" t="s">
        <v>751</v>
      </c>
      <c r="C270" t="s">
        <v>728</v>
      </c>
      <c r="D270">
        <v>3.1850000000000001</v>
      </c>
    </row>
    <row r="271" spans="1:4" x14ac:dyDescent="0.3">
      <c r="A271" t="s">
        <v>752</v>
      </c>
      <c r="B271" t="s">
        <v>753</v>
      </c>
      <c r="C271" t="s">
        <v>452</v>
      </c>
      <c r="D271">
        <v>0.59899999999999998</v>
      </c>
    </row>
    <row r="272" spans="1:4" x14ac:dyDescent="0.3">
      <c r="A272" t="s">
        <v>754</v>
      </c>
      <c r="B272" t="s">
        <v>755</v>
      </c>
      <c r="C272" t="s">
        <v>756</v>
      </c>
      <c r="D272">
        <v>785.50199999999995</v>
      </c>
    </row>
    <row r="273" spans="1:4" x14ac:dyDescent="0.3">
      <c r="A273" t="s">
        <v>760</v>
      </c>
      <c r="B273" t="s">
        <v>761</v>
      </c>
      <c r="C273" t="s">
        <v>762</v>
      </c>
      <c r="D273">
        <v>3079.4879999999998</v>
      </c>
    </row>
    <row r="274" spans="1:4" x14ac:dyDescent="0.3">
      <c r="A274" t="s">
        <v>763</v>
      </c>
      <c r="B274" t="s">
        <v>764</v>
      </c>
      <c r="C274" t="s">
        <v>198</v>
      </c>
      <c r="D274">
        <v>2771.2890000000002</v>
      </c>
    </row>
    <row r="275" spans="1:4" x14ac:dyDescent="0.3">
      <c r="A275" t="s">
        <v>765</v>
      </c>
      <c r="B275" t="s">
        <v>766</v>
      </c>
      <c r="C275" t="s">
        <v>767</v>
      </c>
      <c r="D275">
        <v>29.858000000000001</v>
      </c>
    </row>
    <row r="276" spans="1:4" x14ac:dyDescent="0.3">
      <c r="A276" t="s">
        <v>768</v>
      </c>
      <c r="B276" t="s">
        <v>769</v>
      </c>
      <c r="C276" t="s">
        <v>209</v>
      </c>
      <c r="D276">
        <v>29.870999999999999</v>
      </c>
    </row>
    <row r="277" spans="1:4" x14ac:dyDescent="0.3">
      <c r="A277" t="s">
        <v>770</v>
      </c>
      <c r="B277" t="s">
        <v>771</v>
      </c>
      <c r="C277" t="s">
        <v>767</v>
      </c>
      <c r="D277">
        <v>1.0980000000000001</v>
      </c>
    </row>
    <row r="278" spans="1:4" x14ac:dyDescent="0.3">
      <c r="A278" t="s">
        <v>772</v>
      </c>
      <c r="B278" t="s">
        <v>773</v>
      </c>
      <c r="C278" t="s">
        <v>774</v>
      </c>
      <c r="D278">
        <v>1.611</v>
      </c>
    </row>
    <row r="279" spans="1:4" x14ac:dyDescent="0.3">
      <c r="A279" t="s">
        <v>775</v>
      </c>
      <c r="B279" t="s">
        <v>776</v>
      </c>
      <c r="C279" t="s">
        <v>683</v>
      </c>
      <c r="D279">
        <v>92.771000000000001</v>
      </c>
    </row>
    <row r="280" spans="1:4" x14ac:dyDescent="0.3">
      <c r="A280" t="s">
        <v>777</v>
      </c>
      <c r="B280" t="s">
        <v>778</v>
      </c>
      <c r="C280" t="s">
        <v>209</v>
      </c>
      <c r="D280">
        <v>2.3149999999999999</v>
      </c>
    </row>
    <row r="281" spans="1:4" x14ac:dyDescent="0.3">
      <c r="A281" t="s">
        <v>779</v>
      </c>
      <c r="B281" t="s">
        <v>780</v>
      </c>
      <c r="C281" t="s">
        <v>781</v>
      </c>
      <c r="D281">
        <v>45.655999999999999</v>
      </c>
    </row>
    <row r="282" spans="1:4" x14ac:dyDescent="0.3">
      <c r="A282" t="s">
        <v>782</v>
      </c>
      <c r="B282" t="s">
        <v>783</v>
      </c>
      <c r="C282" t="s">
        <v>198</v>
      </c>
      <c r="D282">
        <v>365.01499999999999</v>
      </c>
    </row>
    <row r="283" spans="1:4" x14ac:dyDescent="0.3">
      <c r="A283" t="s">
        <v>784</v>
      </c>
      <c r="B283" t="s">
        <v>785</v>
      </c>
      <c r="C283" t="s">
        <v>452</v>
      </c>
      <c r="D283">
        <v>10.571999999999999</v>
      </c>
    </row>
    <row r="284" spans="1:4" x14ac:dyDescent="0.3">
      <c r="A284" t="s">
        <v>786</v>
      </c>
      <c r="B284" t="s">
        <v>787</v>
      </c>
      <c r="C284" t="s">
        <v>209</v>
      </c>
      <c r="D284">
        <v>1.198</v>
      </c>
    </row>
    <row r="285" spans="1:4" x14ac:dyDescent="0.3">
      <c r="A285" t="s">
        <v>788</v>
      </c>
      <c r="B285" t="s">
        <v>789</v>
      </c>
      <c r="C285" t="s">
        <v>553</v>
      </c>
      <c r="D285">
        <v>11.62</v>
      </c>
    </row>
    <row r="286" spans="1:4" x14ac:dyDescent="0.3">
      <c r="A286" t="s">
        <v>790</v>
      </c>
      <c r="B286" t="s">
        <v>791</v>
      </c>
      <c r="C286" t="s">
        <v>405</v>
      </c>
      <c r="D286">
        <v>81.751000000000005</v>
      </c>
    </row>
    <row r="287" spans="1:4" x14ac:dyDescent="0.3">
      <c r="A287" t="s">
        <v>792</v>
      </c>
      <c r="B287" t="s">
        <v>793</v>
      </c>
      <c r="C287" t="s">
        <v>295</v>
      </c>
      <c r="D287">
        <v>1.2230000000000001</v>
      </c>
    </row>
    <row r="288" spans="1:4" x14ac:dyDescent="0.3">
      <c r="A288" t="s">
        <v>794</v>
      </c>
      <c r="B288" t="s">
        <v>795</v>
      </c>
      <c r="C288" t="s">
        <v>199</v>
      </c>
      <c r="D288">
        <v>0.11700000000000001</v>
      </c>
    </row>
    <row r="289" spans="1:4" x14ac:dyDescent="0.3">
      <c r="A289" t="s">
        <v>796</v>
      </c>
      <c r="B289" t="s">
        <v>797</v>
      </c>
      <c r="C289" t="s">
        <v>199</v>
      </c>
      <c r="D289">
        <v>1.028</v>
      </c>
    </row>
    <row r="290" spans="1:4" x14ac:dyDescent="0.3">
      <c r="A290" t="s">
        <v>798</v>
      </c>
      <c r="B290" t="s">
        <v>799</v>
      </c>
      <c r="C290" t="s">
        <v>371</v>
      </c>
      <c r="D290">
        <v>15.084</v>
      </c>
    </row>
    <row r="291" spans="1:4" x14ac:dyDescent="0.3">
      <c r="A291" t="s">
        <v>800</v>
      </c>
      <c r="B291" t="s">
        <v>801</v>
      </c>
      <c r="C291" t="s">
        <v>200</v>
      </c>
      <c r="D291">
        <v>356.88400000000001</v>
      </c>
    </row>
    <row r="292" spans="1:4" x14ac:dyDescent="0.3">
      <c r="A292" t="s">
        <v>802</v>
      </c>
      <c r="B292" t="s">
        <v>803</v>
      </c>
      <c r="C292" t="s">
        <v>199</v>
      </c>
      <c r="D292">
        <v>1.0840000000000001</v>
      </c>
    </row>
    <row r="293" spans="1:4" x14ac:dyDescent="0.3">
      <c r="A293" t="s">
        <v>804</v>
      </c>
      <c r="B293" t="s">
        <v>805</v>
      </c>
      <c r="C293" t="s">
        <v>284</v>
      </c>
      <c r="D293">
        <v>458.83</v>
      </c>
    </row>
    <row r="294" spans="1:4" x14ac:dyDescent="0.3">
      <c r="A294" t="s">
        <v>806</v>
      </c>
      <c r="B294" t="s">
        <v>807</v>
      </c>
      <c r="C294" t="s">
        <v>808</v>
      </c>
      <c r="D294">
        <v>322.85300000000001</v>
      </c>
    </row>
    <row r="295" spans="1:4" x14ac:dyDescent="0.3">
      <c r="A295" t="s">
        <v>809</v>
      </c>
      <c r="B295" t="s">
        <v>810</v>
      </c>
      <c r="C295" t="s">
        <v>553</v>
      </c>
      <c r="D295">
        <v>6.117</v>
      </c>
    </row>
    <row r="296" spans="1:4" x14ac:dyDescent="0.3">
      <c r="A296" t="s">
        <v>811</v>
      </c>
      <c r="B296" t="s">
        <v>812</v>
      </c>
      <c r="C296" t="s">
        <v>396</v>
      </c>
      <c r="D296">
        <v>306.13499999999999</v>
      </c>
    </row>
    <row r="297" spans="1:4" x14ac:dyDescent="0.3">
      <c r="A297" t="s">
        <v>813</v>
      </c>
      <c r="B297" t="s">
        <v>814</v>
      </c>
      <c r="C297" t="s">
        <v>273</v>
      </c>
      <c r="D297">
        <v>59.372</v>
      </c>
    </row>
    <row r="298" spans="1:4" x14ac:dyDescent="0.3">
      <c r="A298" t="s">
        <v>815</v>
      </c>
      <c r="B298" t="s">
        <v>816</v>
      </c>
      <c r="C298" t="s">
        <v>198</v>
      </c>
      <c r="D298">
        <v>9.7539999999999996</v>
      </c>
    </row>
    <row r="299" spans="1:4" x14ac:dyDescent="0.3">
      <c r="A299" t="s">
        <v>817</v>
      </c>
      <c r="B299" t="s">
        <v>818</v>
      </c>
      <c r="C299" t="s">
        <v>819</v>
      </c>
      <c r="D299">
        <v>24.783999999999999</v>
      </c>
    </row>
    <row r="300" spans="1:4" x14ac:dyDescent="0.3">
      <c r="A300" t="s">
        <v>820</v>
      </c>
      <c r="B300" t="s">
        <v>821</v>
      </c>
      <c r="C300" t="s">
        <v>822</v>
      </c>
      <c r="D300">
        <v>80.361000000000004</v>
      </c>
    </row>
    <row r="301" spans="1:4" x14ac:dyDescent="0.3">
      <c r="A301" t="s">
        <v>823</v>
      </c>
      <c r="B301" t="s">
        <v>824</v>
      </c>
      <c r="C301" t="s">
        <v>825</v>
      </c>
      <c r="D301">
        <v>4.7460000000000004</v>
      </c>
    </row>
    <row r="302" spans="1:4" x14ac:dyDescent="0.3">
      <c r="A302" t="s">
        <v>826</v>
      </c>
      <c r="B302" t="s">
        <v>827</v>
      </c>
      <c r="C302" t="s">
        <v>825</v>
      </c>
      <c r="D302">
        <v>29.402000000000001</v>
      </c>
    </row>
    <row r="303" spans="1:4" x14ac:dyDescent="0.3">
      <c r="A303" t="s">
        <v>828</v>
      </c>
      <c r="B303" t="s">
        <v>1573</v>
      </c>
      <c r="C303" t="s">
        <v>396</v>
      </c>
      <c r="D303">
        <v>10.532</v>
      </c>
    </row>
    <row r="304" spans="1:4" x14ac:dyDescent="0.3">
      <c r="A304" t="s">
        <v>830</v>
      </c>
      <c r="B304" t="s">
        <v>831</v>
      </c>
      <c r="C304" t="s">
        <v>198</v>
      </c>
      <c r="D304">
        <v>6.6000000000000003E-2</v>
      </c>
    </row>
    <row r="305" spans="1:4" x14ac:dyDescent="0.3">
      <c r="A305" t="s">
        <v>832</v>
      </c>
      <c r="B305" t="s">
        <v>833</v>
      </c>
      <c r="C305" t="s">
        <v>834</v>
      </c>
      <c r="D305">
        <v>79.108000000000004</v>
      </c>
    </row>
    <row r="306" spans="1:4" x14ac:dyDescent="0.3">
      <c r="A306" t="s">
        <v>1574</v>
      </c>
      <c r="B306" t="s">
        <v>1575</v>
      </c>
      <c r="C306" t="s">
        <v>1576</v>
      </c>
      <c r="D306">
        <v>10.161</v>
      </c>
    </row>
    <row r="307" spans="1:4" x14ac:dyDescent="0.3">
      <c r="A307" t="s">
        <v>835</v>
      </c>
      <c r="B307" t="s">
        <v>836</v>
      </c>
      <c r="C307" t="s">
        <v>381</v>
      </c>
      <c r="D307">
        <v>7.6349999999999998</v>
      </c>
    </row>
    <row r="308" spans="1:4" x14ac:dyDescent="0.3">
      <c r="A308" t="s">
        <v>837</v>
      </c>
      <c r="B308" t="s">
        <v>838</v>
      </c>
      <c r="C308" t="s">
        <v>839</v>
      </c>
      <c r="D308">
        <v>115.55200000000001</v>
      </c>
    </row>
    <row r="309" spans="1:4" x14ac:dyDescent="0.3">
      <c r="A309" t="s">
        <v>842</v>
      </c>
      <c r="B309" t="s">
        <v>843</v>
      </c>
      <c r="C309" t="s">
        <v>325</v>
      </c>
      <c r="D309">
        <v>48.832000000000001</v>
      </c>
    </row>
    <row r="310" spans="1:4" x14ac:dyDescent="0.3">
      <c r="A310" t="s">
        <v>844</v>
      </c>
      <c r="B310" t="s">
        <v>845</v>
      </c>
      <c r="C310" t="s">
        <v>199</v>
      </c>
      <c r="D310">
        <v>111.496</v>
      </c>
    </row>
    <row r="311" spans="1:4" x14ac:dyDescent="0.3">
      <c r="A311" t="s">
        <v>846</v>
      </c>
      <c r="B311" t="s">
        <v>847</v>
      </c>
      <c r="C311" t="s">
        <v>848</v>
      </c>
      <c r="D311">
        <v>2.0070000000000001</v>
      </c>
    </row>
    <row r="312" spans="1:4" x14ac:dyDescent="0.3">
      <c r="A312" t="s">
        <v>849</v>
      </c>
      <c r="B312" t="s">
        <v>850</v>
      </c>
      <c r="C312" t="s">
        <v>491</v>
      </c>
      <c r="D312">
        <v>4.3769999999999998</v>
      </c>
    </row>
    <row r="313" spans="1:4" x14ac:dyDescent="0.3">
      <c r="A313" t="s">
        <v>851</v>
      </c>
      <c r="B313" t="s">
        <v>850</v>
      </c>
      <c r="C313" t="s">
        <v>852</v>
      </c>
      <c r="D313">
        <v>5.4909999999999997</v>
      </c>
    </row>
    <row r="314" spans="1:4" x14ac:dyDescent="0.3">
      <c r="A314" t="s">
        <v>853</v>
      </c>
      <c r="B314" t="s">
        <v>854</v>
      </c>
      <c r="C314" t="s">
        <v>198</v>
      </c>
      <c r="D314">
        <v>87.432000000000002</v>
      </c>
    </row>
    <row r="315" spans="1:4" x14ac:dyDescent="0.3">
      <c r="A315" t="s">
        <v>855</v>
      </c>
      <c r="B315" t="s">
        <v>856</v>
      </c>
      <c r="C315" t="s">
        <v>405</v>
      </c>
      <c r="D315">
        <v>33.061</v>
      </c>
    </row>
    <row r="316" spans="1:4" x14ac:dyDescent="0.3">
      <c r="A316" t="s">
        <v>857</v>
      </c>
      <c r="B316" t="s">
        <v>858</v>
      </c>
      <c r="C316" t="s">
        <v>273</v>
      </c>
      <c r="D316">
        <v>0.71699999999999997</v>
      </c>
    </row>
    <row r="317" spans="1:4" x14ac:dyDescent="0.3">
      <c r="A317" t="s">
        <v>1948</v>
      </c>
      <c r="B317" t="s">
        <v>1949</v>
      </c>
      <c r="C317" t="s">
        <v>198</v>
      </c>
      <c r="D317">
        <v>15.602</v>
      </c>
    </row>
    <row r="318" spans="1:4" x14ac:dyDescent="0.3">
      <c r="A318" t="s">
        <v>859</v>
      </c>
      <c r="B318" t="s">
        <v>860</v>
      </c>
      <c r="C318" t="s">
        <v>371</v>
      </c>
      <c r="D318">
        <v>40.963999999999999</v>
      </c>
    </row>
    <row r="319" spans="1:4" x14ac:dyDescent="0.3">
      <c r="A319" t="s">
        <v>863</v>
      </c>
      <c r="B319" t="s">
        <v>864</v>
      </c>
      <c r="C319" t="s">
        <v>198</v>
      </c>
      <c r="D319">
        <v>1.587</v>
      </c>
    </row>
    <row r="320" spans="1:4" x14ac:dyDescent="0.3">
      <c r="A320" t="s">
        <v>865</v>
      </c>
      <c r="B320" t="s">
        <v>866</v>
      </c>
      <c r="C320" t="s">
        <v>199</v>
      </c>
      <c r="D320">
        <v>5.9429999999999996</v>
      </c>
    </row>
    <row r="321" spans="1:4" x14ac:dyDescent="0.3">
      <c r="A321" t="s">
        <v>867</v>
      </c>
      <c r="B321" t="s">
        <v>868</v>
      </c>
      <c r="C321" t="s">
        <v>198</v>
      </c>
      <c r="D321">
        <v>129.274</v>
      </c>
    </row>
    <row r="322" spans="1:4" x14ac:dyDescent="0.3">
      <c r="A322" t="s">
        <v>869</v>
      </c>
      <c r="B322" t="s">
        <v>870</v>
      </c>
      <c r="C322" t="s">
        <v>198</v>
      </c>
      <c r="D322">
        <v>5.1539999999999999</v>
      </c>
    </row>
    <row r="323" spans="1:4" x14ac:dyDescent="0.3">
      <c r="A323" t="s">
        <v>1577</v>
      </c>
      <c r="B323" t="s">
        <v>1578</v>
      </c>
      <c r="C323" t="s">
        <v>198</v>
      </c>
      <c r="D323">
        <v>9.0020000000000007</v>
      </c>
    </row>
    <row r="324" spans="1:4" x14ac:dyDescent="0.3">
      <c r="A324" t="s">
        <v>871</v>
      </c>
      <c r="B324" t="s">
        <v>872</v>
      </c>
      <c r="C324" t="s">
        <v>198</v>
      </c>
      <c r="D324">
        <v>4.9000000000000002E-2</v>
      </c>
    </row>
    <row r="325" spans="1:4" x14ac:dyDescent="0.3">
      <c r="A325" t="s">
        <v>873</v>
      </c>
      <c r="B325" t="s">
        <v>874</v>
      </c>
      <c r="C325" t="s">
        <v>198</v>
      </c>
      <c r="D325">
        <v>1.5309999999999999</v>
      </c>
    </row>
    <row r="326" spans="1:4" x14ac:dyDescent="0.3">
      <c r="A326" t="s">
        <v>875</v>
      </c>
      <c r="B326" t="s">
        <v>876</v>
      </c>
      <c r="C326" t="s">
        <v>209</v>
      </c>
      <c r="D326">
        <v>35.893999999999998</v>
      </c>
    </row>
    <row r="327" spans="1:4" x14ac:dyDescent="0.3">
      <c r="A327" t="s">
        <v>877</v>
      </c>
      <c r="B327" t="s">
        <v>878</v>
      </c>
      <c r="C327" t="s">
        <v>879</v>
      </c>
      <c r="D327">
        <v>1776.212</v>
      </c>
    </row>
    <row r="328" spans="1:4" x14ac:dyDescent="0.3">
      <c r="A328" t="s">
        <v>1950</v>
      </c>
      <c r="B328" t="s">
        <v>1951</v>
      </c>
      <c r="C328" t="s">
        <v>199</v>
      </c>
      <c r="D328">
        <v>315.88</v>
      </c>
    </row>
    <row r="329" spans="1:4" x14ac:dyDescent="0.3">
      <c r="A329" t="s">
        <v>880</v>
      </c>
      <c r="B329" t="s">
        <v>881</v>
      </c>
      <c r="C329" t="s">
        <v>198</v>
      </c>
      <c r="D329">
        <v>1.1930000000000001</v>
      </c>
    </row>
    <row r="330" spans="1:4" x14ac:dyDescent="0.3">
      <c r="A330" t="s">
        <v>882</v>
      </c>
      <c r="B330" t="s">
        <v>883</v>
      </c>
      <c r="C330" t="s">
        <v>198</v>
      </c>
      <c r="D330">
        <v>132.708</v>
      </c>
    </row>
    <row r="331" spans="1:4" x14ac:dyDescent="0.3">
      <c r="A331" t="s">
        <v>884</v>
      </c>
      <c r="B331" t="s">
        <v>885</v>
      </c>
      <c r="C331" t="s">
        <v>442</v>
      </c>
      <c r="D331">
        <v>40.533000000000001</v>
      </c>
    </row>
    <row r="332" spans="1:4" x14ac:dyDescent="0.3">
      <c r="A332" t="s">
        <v>886</v>
      </c>
      <c r="B332" t="s">
        <v>887</v>
      </c>
      <c r="C332" t="s">
        <v>494</v>
      </c>
      <c r="D332">
        <v>4.5970000000000004</v>
      </c>
    </row>
    <row r="333" spans="1:4" x14ac:dyDescent="0.3">
      <c r="A333" t="s">
        <v>888</v>
      </c>
      <c r="B333" t="s">
        <v>889</v>
      </c>
      <c r="C333" t="s">
        <v>198</v>
      </c>
      <c r="D333">
        <v>5.4690000000000003</v>
      </c>
    </row>
    <row r="334" spans="1:4" x14ac:dyDescent="0.3">
      <c r="A334" t="s">
        <v>890</v>
      </c>
      <c r="B334" t="s">
        <v>891</v>
      </c>
      <c r="C334" t="s">
        <v>198</v>
      </c>
      <c r="D334">
        <v>64.031000000000006</v>
      </c>
    </row>
    <row r="335" spans="1:4" x14ac:dyDescent="0.3">
      <c r="A335" t="s">
        <v>892</v>
      </c>
      <c r="B335" t="s">
        <v>893</v>
      </c>
      <c r="C335" t="s">
        <v>198</v>
      </c>
      <c r="D335">
        <v>3.8580000000000001</v>
      </c>
    </row>
    <row r="336" spans="1:4" x14ac:dyDescent="0.3">
      <c r="A336" t="s">
        <v>894</v>
      </c>
      <c r="B336" t="s">
        <v>895</v>
      </c>
      <c r="C336" t="s">
        <v>199</v>
      </c>
      <c r="D336">
        <v>1.375</v>
      </c>
    </row>
    <row r="337" spans="1:4" x14ac:dyDescent="0.3">
      <c r="A337" t="s">
        <v>896</v>
      </c>
      <c r="B337" t="s">
        <v>897</v>
      </c>
      <c r="C337" t="s">
        <v>198</v>
      </c>
      <c r="D337">
        <v>18.006</v>
      </c>
    </row>
    <row r="338" spans="1:4" x14ac:dyDescent="0.3">
      <c r="A338" t="s">
        <v>898</v>
      </c>
      <c r="B338" t="s">
        <v>899</v>
      </c>
      <c r="C338" t="s">
        <v>670</v>
      </c>
      <c r="D338">
        <v>503.80599999999998</v>
      </c>
    </row>
    <row r="339" spans="1:4" x14ac:dyDescent="0.3">
      <c r="A339" t="s">
        <v>900</v>
      </c>
      <c r="B339" t="s">
        <v>901</v>
      </c>
      <c r="C339" t="s">
        <v>198</v>
      </c>
      <c r="D339">
        <v>180.11600000000001</v>
      </c>
    </row>
    <row r="340" spans="1:4" x14ac:dyDescent="0.3">
      <c r="A340" t="s">
        <v>902</v>
      </c>
      <c r="B340" t="s">
        <v>903</v>
      </c>
      <c r="C340" t="s">
        <v>198</v>
      </c>
      <c r="D340">
        <v>11.951000000000001</v>
      </c>
    </row>
    <row r="341" spans="1:4" x14ac:dyDescent="0.3">
      <c r="A341" t="s">
        <v>904</v>
      </c>
      <c r="B341" t="s">
        <v>905</v>
      </c>
      <c r="C341" t="s">
        <v>200</v>
      </c>
      <c r="D341">
        <v>7.1479999999999997</v>
      </c>
    </row>
    <row r="342" spans="1:4" x14ac:dyDescent="0.3">
      <c r="A342" t="s">
        <v>906</v>
      </c>
      <c r="B342" t="s">
        <v>907</v>
      </c>
      <c r="C342" t="s">
        <v>284</v>
      </c>
      <c r="D342">
        <v>2.6139999999999999</v>
      </c>
    </row>
    <row r="343" spans="1:4" x14ac:dyDescent="0.3">
      <c r="A343" t="s">
        <v>908</v>
      </c>
      <c r="B343" t="s">
        <v>909</v>
      </c>
      <c r="C343" t="s">
        <v>198</v>
      </c>
      <c r="D343">
        <v>20.347999999999999</v>
      </c>
    </row>
    <row r="344" spans="1:4" x14ac:dyDescent="0.3">
      <c r="A344" t="s">
        <v>910</v>
      </c>
      <c r="B344" t="s">
        <v>911</v>
      </c>
      <c r="C344" t="s">
        <v>360</v>
      </c>
      <c r="D344">
        <v>346.625</v>
      </c>
    </row>
    <row r="345" spans="1:4" x14ac:dyDescent="0.3">
      <c r="A345" t="s">
        <v>912</v>
      </c>
      <c r="B345" t="s">
        <v>913</v>
      </c>
      <c r="C345" t="s">
        <v>273</v>
      </c>
      <c r="D345">
        <v>11.246</v>
      </c>
    </row>
    <row r="346" spans="1:4" x14ac:dyDescent="0.3">
      <c r="A346" t="s">
        <v>914</v>
      </c>
      <c r="B346" t="s">
        <v>915</v>
      </c>
      <c r="C346" t="s">
        <v>553</v>
      </c>
      <c r="D346">
        <v>8.2989999999999995</v>
      </c>
    </row>
    <row r="347" spans="1:4" x14ac:dyDescent="0.3">
      <c r="A347" t="s">
        <v>916</v>
      </c>
      <c r="B347" t="s">
        <v>917</v>
      </c>
      <c r="C347" t="s">
        <v>257</v>
      </c>
      <c r="D347">
        <v>2.5419999999999998</v>
      </c>
    </row>
    <row r="348" spans="1:4" x14ac:dyDescent="0.3">
      <c r="A348" t="s">
        <v>918</v>
      </c>
      <c r="B348" t="s">
        <v>919</v>
      </c>
      <c r="C348" t="s">
        <v>257</v>
      </c>
      <c r="D348">
        <v>10.260999999999999</v>
      </c>
    </row>
    <row r="349" spans="1:4" x14ac:dyDescent="0.3">
      <c r="A349" t="s">
        <v>920</v>
      </c>
      <c r="B349" t="s">
        <v>921</v>
      </c>
      <c r="C349" t="s">
        <v>922</v>
      </c>
      <c r="D349">
        <v>1.8420000000000001</v>
      </c>
    </row>
    <row r="350" spans="1:4" x14ac:dyDescent="0.3">
      <c r="A350" t="s">
        <v>923</v>
      </c>
      <c r="B350" t="s">
        <v>924</v>
      </c>
      <c r="C350" t="s">
        <v>198</v>
      </c>
      <c r="D350">
        <v>3.859</v>
      </c>
    </row>
    <row r="351" spans="1:4" x14ac:dyDescent="0.3">
      <c r="A351" t="s">
        <v>925</v>
      </c>
      <c r="B351" t="s">
        <v>926</v>
      </c>
      <c r="C351" t="s">
        <v>199</v>
      </c>
      <c r="D351">
        <v>1.6539999999999999</v>
      </c>
    </row>
    <row r="352" spans="1:4" x14ac:dyDescent="0.3">
      <c r="A352" t="s">
        <v>927</v>
      </c>
      <c r="B352" t="s">
        <v>928</v>
      </c>
      <c r="C352" t="s">
        <v>354</v>
      </c>
      <c r="D352">
        <v>0.45700000000000002</v>
      </c>
    </row>
    <row r="353" spans="1:4" x14ac:dyDescent="0.3">
      <c r="A353" t="s">
        <v>929</v>
      </c>
      <c r="B353" t="s">
        <v>930</v>
      </c>
      <c r="C353" t="s">
        <v>931</v>
      </c>
      <c r="D353">
        <v>0.35899999999999999</v>
      </c>
    </row>
    <row r="354" spans="1:4" x14ac:dyDescent="0.3">
      <c r="A354" t="s">
        <v>932</v>
      </c>
      <c r="B354" t="s">
        <v>933</v>
      </c>
      <c r="C354" t="s">
        <v>284</v>
      </c>
      <c r="D354">
        <v>0.63100000000000001</v>
      </c>
    </row>
    <row r="355" spans="1:4" x14ac:dyDescent="0.3">
      <c r="A355" t="s">
        <v>934</v>
      </c>
      <c r="B355" t="s">
        <v>935</v>
      </c>
      <c r="C355" t="s">
        <v>936</v>
      </c>
      <c r="D355">
        <v>0.16200000000000001</v>
      </c>
    </row>
    <row r="356" spans="1:4" x14ac:dyDescent="0.3">
      <c r="A356" t="s">
        <v>937</v>
      </c>
      <c r="B356" t="s">
        <v>938</v>
      </c>
      <c r="C356" t="s">
        <v>199</v>
      </c>
      <c r="D356">
        <v>1.5109999999999999</v>
      </c>
    </row>
    <row r="357" spans="1:4" x14ac:dyDescent="0.3">
      <c r="A357" t="s">
        <v>939</v>
      </c>
      <c r="B357" t="s">
        <v>940</v>
      </c>
      <c r="C357" t="s">
        <v>199</v>
      </c>
      <c r="D357">
        <v>20.951000000000001</v>
      </c>
    </row>
    <row r="358" spans="1:4" x14ac:dyDescent="0.3">
      <c r="A358" t="s">
        <v>941</v>
      </c>
      <c r="B358" t="s">
        <v>942</v>
      </c>
      <c r="C358" t="s">
        <v>198</v>
      </c>
      <c r="D358">
        <v>10.3</v>
      </c>
    </row>
    <row r="359" spans="1:4" x14ac:dyDescent="0.3">
      <c r="A359" t="s">
        <v>943</v>
      </c>
      <c r="B359" t="s">
        <v>944</v>
      </c>
      <c r="C359" t="s">
        <v>945</v>
      </c>
      <c r="D359">
        <v>2.73</v>
      </c>
    </row>
    <row r="360" spans="1:4" x14ac:dyDescent="0.3">
      <c r="A360" t="s">
        <v>946</v>
      </c>
      <c r="B360" t="s">
        <v>944</v>
      </c>
      <c r="C360" t="s">
        <v>947</v>
      </c>
      <c r="D360">
        <v>1.365</v>
      </c>
    </row>
    <row r="361" spans="1:4" x14ac:dyDescent="0.3">
      <c r="A361" t="s">
        <v>948</v>
      </c>
      <c r="B361" t="s">
        <v>949</v>
      </c>
      <c r="C361" t="s">
        <v>947</v>
      </c>
      <c r="D361">
        <v>1.2110000000000001</v>
      </c>
    </row>
    <row r="362" spans="1:4" x14ac:dyDescent="0.3">
      <c r="A362" t="s">
        <v>950</v>
      </c>
      <c r="B362" t="s">
        <v>944</v>
      </c>
      <c r="C362" t="s">
        <v>951</v>
      </c>
      <c r="D362">
        <v>0.68300000000000005</v>
      </c>
    </row>
    <row r="363" spans="1:4" x14ac:dyDescent="0.3">
      <c r="A363" t="s">
        <v>952</v>
      </c>
      <c r="B363" t="s">
        <v>953</v>
      </c>
      <c r="C363" t="s">
        <v>947</v>
      </c>
      <c r="D363">
        <v>1.98</v>
      </c>
    </row>
    <row r="364" spans="1:4" x14ac:dyDescent="0.3">
      <c r="A364" t="s">
        <v>954</v>
      </c>
      <c r="B364" t="s">
        <v>955</v>
      </c>
      <c r="C364" t="s">
        <v>956</v>
      </c>
      <c r="D364">
        <v>3.9279999999999999</v>
      </c>
    </row>
    <row r="365" spans="1:4" x14ac:dyDescent="0.3">
      <c r="A365" t="s">
        <v>957</v>
      </c>
      <c r="B365" t="s">
        <v>958</v>
      </c>
      <c r="C365" t="s">
        <v>956</v>
      </c>
      <c r="D365">
        <v>2.4900000000000002</v>
      </c>
    </row>
    <row r="366" spans="1:4" x14ac:dyDescent="0.3">
      <c r="A366" t="s">
        <v>959</v>
      </c>
      <c r="B366" t="s">
        <v>960</v>
      </c>
      <c r="C366" t="s">
        <v>396</v>
      </c>
      <c r="D366">
        <v>47.752000000000002</v>
      </c>
    </row>
    <row r="367" spans="1:4" x14ac:dyDescent="0.3">
      <c r="A367" t="s">
        <v>961</v>
      </c>
      <c r="B367" t="s">
        <v>962</v>
      </c>
      <c r="C367" t="s">
        <v>963</v>
      </c>
      <c r="D367">
        <v>7.891</v>
      </c>
    </row>
    <row r="368" spans="1:4" x14ac:dyDescent="0.3">
      <c r="A368" t="s">
        <v>1579</v>
      </c>
      <c r="B368" t="s">
        <v>1580</v>
      </c>
      <c r="C368" t="s">
        <v>198</v>
      </c>
      <c r="D368">
        <v>1.0860000000000001</v>
      </c>
    </row>
    <row r="369" spans="1:4" x14ac:dyDescent="0.3">
      <c r="A369" t="s">
        <v>964</v>
      </c>
      <c r="B369" t="s">
        <v>965</v>
      </c>
      <c r="C369" t="s">
        <v>963</v>
      </c>
      <c r="D369">
        <v>1.2569999999999999</v>
      </c>
    </row>
    <row r="370" spans="1:4" x14ac:dyDescent="0.3">
      <c r="A370" t="s">
        <v>966</v>
      </c>
      <c r="B370" t="s">
        <v>967</v>
      </c>
      <c r="C370" t="s">
        <v>963</v>
      </c>
      <c r="D370">
        <v>1.89</v>
      </c>
    </row>
    <row r="371" spans="1:4" x14ac:dyDescent="0.3">
      <c r="A371" t="s">
        <v>968</v>
      </c>
      <c r="B371" t="s">
        <v>969</v>
      </c>
      <c r="C371" t="s">
        <v>963</v>
      </c>
      <c r="D371">
        <v>8.7829999999999995</v>
      </c>
    </row>
    <row r="372" spans="1:4" x14ac:dyDescent="0.3">
      <c r="A372" t="s">
        <v>970</v>
      </c>
      <c r="B372" t="s">
        <v>971</v>
      </c>
      <c r="C372" t="s">
        <v>963</v>
      </c>
      <c r="D372">
        <v>15.451000000000001</v>
      </c>
    </row>
    <row r="373" spans="1:4" x14ac:dyDescent="0.3">
      <c r="A373" t="s">
        <v>972</v>
      </c>
      <c r="B373" t="s">
        <v>973</v>
      </c>
      <c r="C373" t="s">
        <v>963</v>
      </c>
      <c r="D373">
        <v>1.361</v>
      </c>
    </row>
    <row r="374" spans="1:4" x14ac:dyDescent="0.3">
      <c r="A374" t="s">
        <v>974</v>
      </c>
      <c r="B374" t="s">
        <v>975</v>
      </c>
      <c r="C374" t="s">
        <v>976</v>
      </c>
      <c r="D374">
        <v>1.0349999999999999</v>
      </c>
    </row>
    <row r="375" spans="1:4" x14ac:dyDescent="0.3">
      <c r="A375" t="s">
        <v>977</v>
      </c>
      <c r="B375" t="s">
        <v>978</v>
      </c>
      <c r="C375" t="s">
        <v>963</v>
      </c>
      <c r="D375">
        <v>1.23</v>
      </c>
    </row>
    <row r="376" spans="1:4" x14ac:dyDescent="0.3">
      <c r="A376" t="s">
        <v>979</v>
      </c>
      <c r="B376" t="s">
        <v>980</v>
      </c>
      <c r="C376" t="s">
        <v>981</v>
      </c>
      <c r="D376">
        <v>1.123</v>
      </c>
    </row>
    <row r="377" spans="1:4" x14ac:dyDescent="0.3">
      <c r="A377" t="s">
        <v>982</v>
      </c>
      <c r="B377" t="s">
        <v>983</v>
      </c>
      <c r="C377" t="s">
        <v>963</v>
      </c>
      <c r="D377">
        <v>1.22</v>
      </c>
    </row>
    <row r="378" spans="1:4" x14ac:dyDescent="0.3">
      <c r="A378" t="s">
        <v>984</v>
      </c>
      <c r="B378" t="s">
        <v>985</v>
      </c>
      <c r="C378" t="s">
        <v>963</v>
      </c>
      <c r="D378">
        <v>3.1909999999999998</v>
      </c>
    </row>
    <row r="379" spans="1:4" x14ac:dyDescent="0.3">
      <c r="A379" t="s">
        <v>986</v>
      </c>
      <c r="B379" t="s">
        <v>987</v>
      </c>
      <c r="C379" t="s">
        <v>452</v>
      </c>
      <c r="D379">
        <v>2.2629999999999999</v>
      </c>
    </row>
    <row r="380" spans="1:4" x14ac:dyDescent="0.3">
      <c r="A380" t="s">
        <v>988</v>
      </c>
      <c r="B380" t="s">
        <v>989</v>
      </c>
      <c r="C380" t="s">
        <v>963</v>
      </c>
      <c r="D380">
        <v>1.07</v>
      </c>
    </row>
    <row r="381" spans="1:4" x14ac:dyDescent="0.3">
      <c r="A381" t="s">
        <v>990</v>
      </c>
      <c r="B381" t="s">
        <v>991</v>
      </c>
      <c r="C381" t="s">
        <v>963</v>
      </c>
      <c r="D381">
        <v>1.3480000000000001</v>
      </c>
    </row>
    <row r="382" spans="1:4" x14ac:dyDescent="0.3">
      <c r="A382" t="s">
        <v>992</v>
      </c>
      <c r="B382" t="s">
        <v>993</v>
      </c>
      <c r="C382" t="s">
        <v>963</v>
      </c>
      <c r="D382">
        <v>1.1919999999999999</v>
      </c>
    </row>
    <row r="383" spans="1:4" x14ac:dyDescent="0.3">
      <c r="A383" t="s">
        <v>994</v>
      </c>
      <c r="B383" t="s">
        <v>995</v>
      </c>
      <c r="C383" t="s">
        <v>963</v>
      </c>
      <c r="D383">
        <v>1.48</v>
      </c>
    </row>
    <row r="384" spans="1:4" x14ac:dyDescent="0.3">
      <c r="A384" t="s">
        <v>996</v>
      </c>
      <c r="B384" t="s">
        <v>997</v>
      </c>
      <c r="C384" t="s">
        <v>963</v>
      </c>
      <c r="D384">
        <v>1.532</v>
      </c>
    </row>
    <row r="385" spans="1:4" x14ac:dyDescent="0.3">
      <c r="A385" t="s">
        <v>998</v>
      </c>
      <c r="B385" t="s">
        <v>999</v>
      </c>
      <c r="C385" t="s">
        <v>963</v>
      </c>
      <c r="D385">
        <v>3.48</v>
      </c>
    </row>
    <row r="386" spans="1:4" x14ac:dyDescent="0.3">
      <c r="A386" t="s">
        <v>1000</v>
      </c>
      <c r="B386" t="s">
        <v>1001</v>
      </c>
      <c r="C386" t="s">
        <v>963</v>
      </c>
      <c r="D386">
        <v>2.085</v>
      </c>
    </row>
    <row r="387" spans="1:4" x14ac:dyDescent="0.3">
      <c r="A387" t="s">
        <v>1002</v>
      </c>
      <c r="B387" t="s">
        <v>1003</v>
      </c>
      <c r="C387" t="s">
        <v>963</v>
      </c>
      <c r="D387">
        <v>1.4550000000000001</v>
      </c>
    </row>
    <row r="388" spans="1:4" x14ac:dyDescent="0.3">
      <c r="A388" t="s">
        <v>1004</v>
      </c>
      <c r="B388" t="s">
        <v>1005</v>
      </c>
      <c r="C388" t="s">
        <v>963</v>
      </c>
      <c r="D388">
        <v>3.2570000000000001</v>
      </c>
    </row>
    <row r="389" spans="1:4" x14ac:dyDescent="0.3">
      <c r="A389" t="s">
        <v>1006</v>
      </c>
      <c r="B389" t="s">
        <v>1007</v>
      </c>
      <c r="C389" t="s">
        <v>963</v>
      </c>
      <c r="D389">
        <v>4.4630000000000001</v>
      </c>
    </row>
    <row r="390" spans="1:4" x14ac:dyDescent="0.3">
      <c r="A390" t="s">
        <v>1581</v>
      </c>
      <c r="B390" t="s">
        <v>1582</v>
      </c>
      <c r="C390" t="s">
        <v>198</v>
      </c>
      <c r="D390">
        <v>3.9590000000000001</v>
      </c>
    </row>
    <row r="391" spans="1:4" x14ac:dyDescent="0.3">
      <c r="A391" t="s">
        <v>1952</v>
      </c>
      <c r="B391" t="s">
        <v>1953</v>
      </c>
      <c r="C391" t="s">
        <v>1954</v>
      </c>
      <c r="D391">
        <v>2.2480000000000002</v>
      </c>
    </row>
    <row r="392" spans="1:4" x14ac:dyDescent="0.3">
      <c r="A392" t="s">
        <v>1008</v>
      </c>
      <c r="B392" t="s">
        <v>1009</v>
      </c>
      <c r="C392" t="s">
        <v>963</v>
      </c>
      <c r="D392">
        <v>2.173</v>
      </c>
    </row>
    <row r="393" spans="1:4" x14ac:dyDescent="0.3">
      <c r="A393" t="s">
        <v>1010</v>
      </c>
      <c r="B393" t="s">
        <v>1011</v>
      </c>
      <c r="C393" t="s">
        <v>963</v>
      </c>
      <c r="D393">
        <v>1.8480000000000001</v>
      </c>
    </row>
    <row r="394" spans="1:4" x14ac:dyDescent="0.3">
      <c r="A394" t="s">
        <v>1012</v>
      </c>
      <c r="B394" t="s">
        <v>1583</v>
      </c>
      <c r="C394" t="s">
        <v>963</v>
      </c>
      <c r="D394">
        <v>2.0299999999999998</v>
      </c>
    </row>
    <row r="395" spans="1:4" x14ac:dyDescent="0.3">
      <c r="A395" t="s">
        <v>1014</v>
      </c>
      <c r="B395" t="s">
        <v>1015</v>
      </c>
      <c r="C395" t="s">
        <v>963</v>
      </c>
      <c r="D395">
        <v>1.2589999999999999</v>
      </c>
    </row>
    <row r="396" spans="1:4" x14ac:dyDescent="0.3">
      <c r="A396" t="s">
        <v>1016</v>
      </c>
      <c r="B396" t="s">
        <v>1584</v>
      </c>
      <c r="C396" t="s">
        <v>963</v>
      </c>
      <c r="D396">
        <v>1.3520000000000001</v>
      </c>
    </row>
    <row r="397" spans="1:4" x14ac:dyDescent="0.3">
      <c r="A397" t="s">
        <v>1018</v>
      </c>
      <c r="B397" t="s">
        <v>1019</v>
      </c>
      <c r="C397" t="s">
        <v>963</v>
      </c>
      <c r="D397">
        <v>1.224</v>
      </c>
    </row>
    <row r="398" spans="1:4" x14ac:dyDescent="0.3">
      <c r="A398" t="s">
        <v>1020</v>
      </c>
      <c r="B398" t="s">
        <v>1021</v>
      </c>
      <c r="C398" t="s">
        <v>1022</v>
      </c>
      <c r="D398">
        <v>388.41800000000001</v>
      </c>
    </row>
    <row r="399" spans="1:4" x14ac:dyDescent="0.3">
      <c r="A399" t="s">
        <v>1023</v>
      </c>
      <c r="B399" t="s">
        <v>1585</v>
      </c>
      <c r="C399" t="s">
        <v>318</v>
      </c>
      <c r="D399">
        <v>341.21699999999998</v>
      </c>
    </row>
    <row r="400" spans="1:4" x14ac:dyDescent="0.3">
      <c r="A400" t="s">
        <v>1026</v>
      </c>
      <c r="B400" t="s">
        <v>1027</v>
      </c>
      <c r="C400" t="s">
        <v>273</v>
      </c>
      <c r="D400">
        <v>199.85</v>
      </c>
    </row>
    <row r="401" spans="1:4" x14ac:dyDescent="0.3">
      <c r="A401" t="s">
        <v>1028</v>
      </c>
      <c r="B401" t="s">
        <v>1586</v>
      </c>
      <c r="C401" t="s">
        <v>318</v>
      </c>
      <c r="D401">
        <v>490.93099999999998</v>
      </c>
    </row>
    <row r="402" spans="1:4" x14ac:dyDescent="0.3">
      <c r="A402" t="s">
        <v>1625</v>
      </c>
      <c r="B402" t="s">
        <v>1626</v>
      </c>
      <c r="C402" t="s">
        <v>318</v>
      </c>
      <c r="D402">
        <v>496.41699999999997</v>
      </c>
    </row>
    <row r="403" spans="1:4" x14ac:dyDescent="0.3">
      <c r="A403" t="s">
        <v>1030</v>
      </c>
      <c r="B403" t="s">
        <v>1031</v>
      </c>
      <c r="C403" t="s">
        <v>1032</v>
      </c>
      <c r="D403">
        <v>1046.9269999999999</v>
      </c>
    </row>
    <row r="404" spans="1:4" x14ac:dyDescent="0.3">
      <c r="A404" t="s">
        <v>1033</v>
      </c>
      <c r="B404" t="s">
        <v>1955</v>
      </c>
      <c r="C404" t="s">
        <v>1035</v>
      </c>
      <c r="D404">
        <v>75.17</v>
      </c>
    </row>
    <row r="405" spans="1:4" x14ac:dyDescent="0.3">
      <c r="A405" t="s">
        <v>1036</v>
      </c>
      <c r="B405" t="s">
        <v>1037</v>
      </c>
      <c r="C405" t="s">
        <v>1035</v>
      </c>
      <c r="D405">
        <v>135.13900000000001</v>
      </c>
    </row>
    <row r="406" spans="1:4" x14ac:dyDescent="0.3">
      <c r="A406" t="s">
        <v>1587</v>
      </c>
      <c r="B406" t="s">
        <v>1588</v>
      </c>
      <c r="C406" t="s">
        <v>1589</v>
      </c>
      <c r="D406">
        <v>128.547</v>
      </c>
    </row>
    <row r="407" spans="1:4" x14ac:dyDescent="0.3">
      <c r="A407" t="s">
        <v>1038</v>
      </c>
      <c r="B407" t="s">
        <v>1039</v>
      </c>
      <c r="C407" t="s">
        <v>198</v>
      </c>
      <c r="D407">
        <v>10.670999999999999</v>
      </c>
    </row>
    <row r="408" spans="1:4" x14ac:dyDescent="0.3">
      <c r="A408" t="s">
        <v>1590</v>
      </c>
      <c r="B408" t="s">
        <v>1591</v>
      </c>
      <c r="C408" t="s">
        <v>1589</v>
      </c>
      <c r="D408">
        <v>785.18700000000001</v>
      </c>
    </row>
    <row r="409" spans="1:4" x14ac:dyDescent="0.3">
      <c r="A409" t="s">
        <v>1956</v>
      </c>
      <c r="B409" t="s">
        <v>1957</v>
      </c>
      <c r="C409" t="s">
        <v>198</v>
      </c>
      <c r="D409">
        <v>18.015999999999998</v>
      </c>
    </row>
    <row r="410" spans="1:4" x14ac:dyDescent="0.3">
      <c r="A410" t="s">
        <v>1040</v>
      </c>
      <c r="B410" t="s">
        <v>1041</v>
      </c>
      <c r="C410" t="s">
        <v>1042</v>
      </c>
      <c r="D410">
        <v>3.25</v>
      </c>
    </row>
    <row r="411" spans="1:4" x14ac:dyDescent="0.3">
      <c r="A411" t="s">
        <v>1043</v>
      </c>
      <c r="B411" t="s">
        <v>1044</v>
      </c>
      <c r="C411" t="s">
        <v>1045</v>
      </c>
      <c r="D411">
        <v>213.76300000000001</v>
      </c>
    </row>
    <row r="412" spans="1:4" x14ac:dyDescent="0.3">
      <c r="A412" t="s">
        <v>1627</v>
      </c>
      <c r="B412" t="s">
        <v>1628</v>
      </c>
      <c r="C412" t="s">
        <v>762</v>
      </c>
      <c r="D412">
        <v>29.983000000000001</v>
      </c>
    </row>
    <row r="413" spans="1:4" x14ac:dyDescent="0.3">
      <c r="A413" t="s">
        <v>1046</v>
      </c>
      <c r="B413" t="s">
        <v>1047</v>
      </c>
      <c r="C413" t="s">
        <v>199</v>
      </c>
      <c r="D413">
        <v>1.5209999999999999</v>
      </c>
    </row>
    <row r="414" spans="1:4" x14ac:dyDescent="0.3">
      <c r="A414" t="s">
        <v>1958</v>
      </c>
      <c r="B414" t="s">
        <v>1959</v>
      </c>
      <c r="C414" t="s">
        <v>452</v>
      </c>
      <c r="D414">
        <v>206.375</v>
      </c>
    </row>
    <row r="415" spans="1:4" x14ac:dyDescent="0.3">
      <c r="A415" t="s">
        <v>1048</v>
      </c>
      <c r="B415" t="s">
        <v>1049</v>
      </c>
      <c r="C415" t="s">
        <v>209</v>
      </c>
      <c r="D415">
        <v>0.98399999999999999</v>
      </c>
    </row>
    <row r="416" spans="1:4" x14ac:dyDescent="0.3">
      <c r="A416" t="s">
        <v>1050</v>
      </c>
      <c r="B416" t="s">
        <v>1051</v>
      </c>
      <c r="C416" t="s">
        <v>257</v>
      </c>
      <c r="D416">
        <v>1.718</v>
      </c>
    </row>
    <row r="417" spans="1:4" x14ac:dyDescent="0.3">
      <c r="A417" t="s">
        <v>1052</v>
      </c>
      <c r="B417" t="s">
        <v>1053</v>
      </c>
      <c r="C417" t="s">
        <v>458</v>
      </c>
      <c r="D417">
        <v>1.42</v>
      </c>
    </row>
    <row r="418" spans="1:4" x14ac:dyDescent="0.3">
      <c r="A418" t="s">
        <v>1054</v>
      </c>
      <c r="B418" t="s">
        <v>1055</v>
      </c>
      <c r="C418" t="s">
        <v>295</v>
      </c>
      <c r="D418">
        <v>2257.645</v>
      </c>
    </row>
    <row r="419" spans="1:4" x14ac:dyDescent="0.3">
      <c r="A419" t="s">
        <v>1056</v>
      </c>
      <c r="B419" t="s">
        <v>1057</v>
      </c>
      <c r="C419" t="s">
        <v>198</v>
      </c>
      <c r="D419">
        <v>0.56899999999999995</v>
      </c>
    </row>
    <row r="420" spans="1:4" x14ac:dyDescent="0.3">
      <c r="A420" t="s">
        <v>1058</v>
      </c>
      <c r="B420" t="s">
        <v>1059</v>
      </c>
      <c r="C420" t="s">
        <v>273</v>
      </c>
      <c r="D420">
        <v>0.47699999999999998</v>
      </c>
    </row>
    <row r="421" spans="1:4" x14ac:dyDescent="0.3">
      <c r="A421" t="s">
        <v>1060</v>
      </c>
      <c r="B421" t="s">
        <v>1061</v>
      </c>
      <c r="C421" t="s">
        <v>513</v>
      </c>
      <c r="D421">
        <v>0.34899999999999998</v>
      </c>
    </row>
    <row r="422" spans="1:4" x14ac:dyDescent="0.3">
      <c r="A422" t="s">
        <v>1062</v>
      </c>
      <c r="B422" t="s">
        <v>1063</v>
      </c>
      <c r="C422" t="s">
        <v>200</v>
      </c>
      <c r="D422">
        <v>0.128</v>
      </c>
    </row>
    <row r="423" spans="1:4" x14ac:dyDescent="0.3">
      <c r="A423" t="s">
        <v>1064</v>
      </c>
      <c r="B423" t="s">
        <v>1065</v>
      </c>
      <c r="C423" t="s">
        <v>553</v>
      </c>
      <c r="D423">
        <v>790.601</v>
      </c>
    </row>
    <row r="424" spans="1:4" x14ac:dyDescent="0.3">
      <c r="A424" t="s">
        <v>1066</v>
      </c>
      <c r="B424" t="s">
        <v>1067</v>
      </c>
      <c r="C424" t="s">
        <v>198</v>
      </c>
      <c r="D424">
        <v>1.2E-2</v>
      </c>
    </row>
    <row r="425" spans="1:4" x14ac:dyDescent="0.3">
      <c r="A425" t="s">
        <v>1068</v>
      </c>
      <c r="B425" t="s">
        <v>1069</v>
      </c>
      <c r="C425" t="s">
        <v>553</v>
      </c>
      <c r="D425">
        <v>0.64200000000000002</v>
      </c>
    </row>
    <row r="426" spans="1:4" x14ac:dyDescent="0.3">
      <c r="A426" t="s">
        <v>1070</v>
      </c>
      <c r="B426" t="s">
        <v>1071</v>
      </c>
      <c r="C426" t="s">
        <v>295</v>
      </c>
      <c r="D426">
        <v>51.320999999999998</v>
      </c>
    </row>
    <row r="427" spans="1:4" x14ac:dyDescent="0.3">
      <c r="A427" t="s">
        <v>1072</v>
      </c>
      <c r="B427" t="s">
        <v>1073</v>
      </c>
      <c r="C427" t="s">
        <v>295</v>
      </c>
      <c r="D427">
        <v>0.47499999999999998</v>
      </c>
    </row>
    <row r="428" spans="1:4" x14ac:dyDescent="0.3">
      <c r="A428" t="s">
        <v>1074</v>
      </c>
      <c r="B428" t="s">
        <v>1075</v>
      </c>
      <c r="C428" t="s">
        <v>1076</v>
      </c>
      <c r="D428">
        <v>2.1779999999999999</v>
      </c>
    </row>
    <row r="429" spans="1:4" x14ac:dyDescent="0.3">
      <c r="A429" t="s">
        <v>1077</v>
      </c>
      <c r="B429" t="s">
        <v>1078</v>
      </c>
      <c r="C429" t="s">
        <v>198</v>
      </c>
      <c r="D429">
        <v>6.5019999999999998</v>
      </c>
    </row>
    <row r="430" spans="1:4" x14ac:dyDescent="0.3">
      <c r="A430" t="s">
        <v>1079</v>
      </c>
      <c r="B430" t="s">
        <v>1080</v>
      </c>
      <c r="C430" t="s">
        <v>200</v>
      </c>
      <c r="D430">
        <v>212.21899999999999</v>
      </c>
    </row>
    <row r="431" spans="1:4" x14ac:dyDescent="0.3">
      <c r="A431" t="s">
        <v>1081</v>
      </c>
      <c r="B431" t="s">
        <v>1082</v>
      </c>
      <c r="C431" t="s">
        <v>458</v>
      </c>
      <c r="D431">
        <v>6.9969999999999999</v>
      </c>
    </row>
    <row r="432" spans="1:4" x14ac:dyDescent="0.3">
      <c r="A432" t="s">
        <v>1083</v>
      </c>
      <c r="B432" t="s">
        <v>1084</v>
      </c>
      <c r="C432" t="s">
        <v>1085</v>
      </c>
      <c r="D432">
        <v>10.996</v>
      </c>
    </row>
    <row r="433" spans="1:4" x14ac:dyDescent="0.3">
      <c r="A433" t="s">
        <v>1086</v>
      </c>
      <c r="B433" t="s">
        <v>1087</v>
      </c>
      <c r="C433" t="s">
        <v>239</v>
      </c>
      <c r="D433">
        <v>11.656000000000001</v>
      </c>
    </row>
    <row r="434" spans="1:4" x14ac:dyDescent="0.3">
      <c r="A434" t="s">
        <v>1088</v>
      </c>
      <c r="B434" t="s">
        <v>1089</v>
      </c>
      <c r="C434" t="s">
        <v>405</v>
      </c>
      <c r="D434">
        <v>5.7439999999999998</v>
      </c>
    </row>
    <row r="435" spans="1:4" x14ac:dyDescent="0.3">
      <c r="A435" t="s">
        <v>1090</v>
      </c>
      <c r="B435" t="s">
        <v>1091</v>
      </c>
      <c r="C435" t="s">
        <v>198</v>
      </c>
      <c r="D435">
        <v>0.23599999999999999</v>
      </c>
    </row>
    <row r="436" spans="1:4" x14ac:dyDescent="0.3">
      <c r="A436" t="s">
        <v>1092</v>
      </c>
      <c r="B436" t="s">
        <v>1093</v>
      </c>
      <c r="C436" t="s">
        <v>396</v>
      </c>
      <c r="D436">
        <v>0.29699999999999999</v>
      </c>
    </row>
    <row r="437" spans="1:4" x14ac:dyDescent="0.3">
      <c r="A437" t="s">
        <v>1094</v>
      </c>
      <c r="B437" t="s">
        <v>1095</v>
      </c>
      <c r="C437" t="s">
        <v>198</v>
      </c>
      <c r="D437">
        <v>4.5999999999999999E-2</v>
      </c>
    </row>
    <row r="438" spans="1:4" x14ac:dyDescent="0.3">
      <c r="A438" t="s">
        <v>1096</v>
      </c>
      <c r="B438" t="s">
        <v>1097</v>
      </c>
      <c r="C438" t="s">
        <v>396</v>
      </c>
      <c r="D438">
        <v>6.2E-2</v>
      </c>
    </row>
    <row r="439" spans="1:4" x14ac:dyDescent="0.3">
      <c r="A439" t="s">
        <v>1098</v>
      </c>
      <c r="B439" t="s">
        <v>1099</v>
      </c>
      <c r="C439" t="s">
        <v>1100</v>
      </c>
      <c r="D439">
        <v>0.11899999999999999</v>
      </c>
    </row>
    <row r="440" spans="1:4" x14ac:dyDescent="0.3">
      <c r="A440" t="s">
        <v>1101</v>
      </c>
      <c r="B440" t="s">
        <v>1102</v>
      </c>
      <c r="C440" t="s">
        <v>396</v>
      </c>
      <c r="D440">
        <v>1.6859999999999999</v>
      </c>
    </row>
    <row r="441" spans="1:4" x14ac:dyDescent="0.3">
      <c r="A441" t="s">
        <v>1103</v>
      </c>
      <c r="B441" t="s">
        <v>1104</v>
      </c>
      <c r="C441" t="s">
        <v>199</v>
      </c>
      <c r="D441">
        <v>2.7080000000000002</v>
      </c>
    </row>
    <row r="442" spans="1:4" x14ac:dyDescent="0.3">
      <c r="A442" t="s">
        <v>1105</v>
      </c>
      <c r="B442" t="s">
        <v>1106</v>
      </c>
      <c r="C442" t="s">
        <v>198</v>
      </c>
      <c r="D442">
        <v>47.786000000000001</v>
      </c>
    </row>
    <row r="443" spans="1:4" x14ac:dyDescent="0.3">
      <c r="A443" t="s">
        <v>1107</v>
      </c>
      <c r="B443" t="s">
        <v>1108</v>
      </c>
      <c r="C443" t="s">
        <v>198</v>
      </c>
      <c r="D443">
        <v>0.20200000000000001</v>
      </c>
    </row>
    <row r="444" spans="1:4" x14ac:dyDescent="0.3">
      <c r="A444" t="s">
        <v>1109</v>
      </c>
      <c r="B444" t="s">
        <v>1110</v>
      </c>
      <c r="C444" t="s">
        <v>198</v>
      </c>
      <c r="D444">
        <v>0.77100000000000002</v>
      </c>
    </row>
    <row r="445" spans="1:4" x14ac:dyDescent="0.3">
      <c r="A445" t="s">
        <v>1629</v>
      </c>
      <c r="B445" t="s">
        <v>1630</v>
      </c>
      <c r="C445" t="s">
        <v>452</v>
      </c>
      <c r="D445">
        <v>0.188</v>
      </c>
    </row>
    <row r="446" spans="1:4" x14ac:dyDescent="0.3">
      <c r="A446" t="s">
        <v>1111</v>
      </c>
      <c r="B446" t="s">
        <v>1112</v>
      </c>
      <c r="C446" t="s">
        <v>683</v>
      </c>
      <c r="D446">
        <v>42.67</v>
      </c>
    </row>
    <row r="447" spans="1:4" x14ac:dyDescent="0.3">
      <c r="A447" t="s">
        <v>1113</v>
      </c>
      <c r="B447" t="s">
        <v>1114</v>
      </c>
      <c r="C447" t="s">
        <v>1115</v>
      </c>
      <c r="D447">
        <v>671.83500000000004</v>
      </c>
    </row>
    <row r="448" spans="1:4" x14ac:dyDescent="0.3">
      <c r="A448" t="s">
        <v>1116</v>
      </c>
      <c r="B448" t="s">
        <v>1117</v>
      </c>
      <c r="C448" t="s">
        <v>200</v>
      </c>
      <c r="D448">
        <v>4.2960000000000003</v>
      </c>
    </row>
    <row r="449" spans="1:4" x14ac:dyDescent="0.3">
      <c r="A449" t="s">
        <v>1120</v>
      </c>
      <c r="B449" t="s">
        <v>1121</v>
      </c>
      <c r="C449" t="s">
        <v>445</v>
      </c>
      <c r="D449">
        <v>0.745</v>
      </c>
    </row>
    <row r="450" spans="1:4" x14ac:dyDescent="0.3">
      <c r="A450" t="s">
        <v>1122</v>
      </c>
      <c r="B450" t="s">
        <v>1123</v>
      </c>
      <c r="C450" t="s">
        <v>284</v>
      </c>
      <c r="D450">
        <v>2.4729999999999999</v>
      </c>
    </row>
    <row r="451" spans="1:4" x14ac:dyDescent="0.3">
      <c r="A451" t="s">
        <v>1124</v>
      </c>
      <c r="B451" t="s">
        <v>1125</v>
      </c>
      <c r="C451" t="s">
        <v>553</v>
      </c>
      <c r="D451">
        <v>1.623</v>
      </c>
    </row>
    <row r="452" spans="1:4" x14ac:dyDescent="0.3">
      <c r="A452" t="s">
        <v>1126</v>
      </c>
      <c r="B452" t="s">
        <v>1127</v>
      </c>
      <c r="C452" t="s">
        <v>458</v>
      </c>
      <c r="D452">
        <v>0.112</v>
      </c>
    </row>
    <row r="453" spans="1:4" x14ac:dyDescent="0.3">
      <c r="A453" t="s">
        <v>1128</v>
      </c>
      <c r="B453" t="s">
        <v>1129</v>
      </c>
      <c r="C453" t="s">
        <v>209</v>
      </c>
      <c r="D453">
        <v>75.769000000000005</v>
      </c>
    </row>
    <row r="454" spans="1:4" x14ac:dyDescent="0.3">
      <c r="A454" t="s">
        <v>1132</v>
      </c>
      <c r="B454" t="s">
        <v>1133</v>
      </c>
      <c r="C454" t="s">
        <v>1134</v>
      </c>
      <c r="D454">
        <v>0.14199999999999999</v>
      </c>
    </row>
    <row r="455" spans="1:4" x14ac:dyDescent="0.3">
      <c r="A455" t="s">
        <v>1135</v>
      </c>
      <c r="B455" t="s">
        <v>1136</v>
      </c>
      <c r="C455" t="s">
        <v>396</v>
      </c>
      <c r="D455">
        <v>270.64999999999998</v>
      </c>
    </row>
    <row r="456" spans="1:4" x14ac:dyDescent="0.3">
      <c r="A456" t="s">
        <v>1137</v>
      </c>
      <c r="B456" t="s">
        <v>1138</v>
      </c>
      <c r="C456" t="s">
        <v>198</v>
      </c>
      <c r="D456">
        <v>2.3410000000000002</v>
      </c>
    </row>
    <row r="457" spans="1:4" x14ac:dyDescent="0.3">
      <c r="A457" t="s">
        <v>1139</v>
      </c>
      <c r="B457" t="s">
        <v>1140</v>
      </c>
      <c r="C457" t="s">
        <v>200</v>
      </c>
      <c r="D457">
        <v>0.53200000000000003</v>
      </c>
    </row>
    <row r="458" spans="1:4" x14ac:dyDescent="0.3">
      <c r="A458" t="s">
        <v>1141</v>
      </c>
      <c r="B458" t="s">
        <v>1142</v>
      </c>
      <c r="C458" t="s">
        <v>1143</v>
      </c>
      <c r="D458">
        <v>103.593</v>
      </c>
    </row>
    <row r="459" spans="1:4" x14ac:dyDescent="0.3">
      <c r="A459" t="s">
        <v>1144</v>
      </c>
      <c r="B459" t="s">
        <v>1145</v>
      </c>
      <c r="C459" t="s">
        <v>199</v>
      </c>
      <c r="D459">
        <v>2.5</v>
      </c>
    </row>
    <row r="460" spans="1:4" x14ac:dyDescent="0.3">
      <c r="A460" t="s">
        <v>1146</v>
      </c>
      <c r="B460" t="s">
        <v>1147</v>
      </c>
      <c r="C460" t="s">
        <v>198</v>
      </c>
      <c r="D460">
        <v>17.823</v>
      </c>
    </row>
    <row r="461" spans="1:4" x14ac:dyDescent="0.3">
      <c r="A461" t="s">
        <v>1148</v>
      </c>
      <c r="B461" t="s">
        <v>1149</v>
      </c>
      <c r="C461" t="s">
        <v>1150</v>
      </c>
      <c r="D461">
        <v>427.26900000000001</v>
      </c>
    </row>
    <row r="462" spans="1:4" x14ac:dyDescent="0.3">
      <c r="A462" t="s">
        <v>1151</v>
      </c>
      <c r="B462" t="s">
        <v>1152</v>
      </c>
      <c r="C462" t="s">
        <v>199</v>
      </c>
      <c r="D462">
        <v>78.180999999999997</v>
      </c>
    </row>
    <row r="463" spans="1:4" x14ac:dyDescent="0.3">
      <c r="A463" t="s">
        <v>1153</v>
      </c>
      <c r="B463" t="s">
        <v>1154</v>
      </c>
      <c r="C463" t="s">
        <v>199</v>
      </c>
      <c r="D463">
        <v>85.331000000000003</v>
      </c>
    </row>
    <row r="464" spans="1:4" x14ac:dyDescent="0.3">
      <c r="A464" t="s">
        <v>1155</v>
      </c>
      <c r="B464" t="s">
        <v>1156</v>
      </c>
      <c r="C464" t="s">
        <v>198</v>
      </c>
      <c r="D464">
        <v>0.91400000000000003</v>
      </c>
    </row>
    <row r="465" spans="1:4" x14ac:dyDescent="0.3">
      <c r="A465" t="s">
        <v>1157</v>
      </c>
      <c r="B465" t="s">
        <v>1158</v>
      </c>
      <c r="C465" t="s">
        <v>198</v>
      </c>
      <c r="D465">
        <v>30.178000000000001</v>
      </c>
    </row>
    <row r="466" spans="1:4" x14ac:dyDescent="0.3">
      <c r="A466" t="s">
        <v>1159</v>
      </c>
      <c r="B466" t="s">
        <v>1160</v>
      </c>
      <c r="C466" t="s">
        <v>198</v>
      </c>
      <c r="D466">
        <v>2.85</v>
      </c>
    </row>
    <row r="467" spans="1:4" x14ac:dyDescent="0.3">
      <c r="A467" t="s">
        <v>1161</v>
      </c>
      <c r="B467" t="s">
        <v>1162</v>
      </c>
      <c r="C467" t="s">
        <v>199</v>
      </c>
      <c r="D467">
        <v>42.701999999999998</v>
      </c>
    </row>
    <row r="468" spans="1:4" x14ac:dyDescent="0.3">
      <c r="A468" t="s">
        <v>1163</v>
      </c>
      <c r="B468" t="s">
        <v>1164</v>
      </c>
      <c r="C468" t="s">
        <v>198</v>
      </c>
      <c r="D468">
        <v>24.581</v>
      </c>
    </row>
    <row r="469" spans="1:4" x14ac:dyDescent="0.3">
      <c r="A469" t="s">
        <v>1165</v>
      </c>
      <c r="B469" t="s">
        <v>1166</v>
      </c>
      <c r="C469" t="s">
        <v>198</v>
      </c>
      <c r="D469">
        <v>20.172999999999998</v>
      </c>
    </row>
    <row r="470" spans="1:4" x14ac:dyDescent="0.3">
      <c r="A470" t="s">
        <v>1167</v>
      </c>
      <c r="B470" t="s">
        <v>1168</v>
      </c>
      <c r="C470" t="s">
        <v>199</v>
      </c>
      <c r="D470">
        <v>75.156999999999996</v>
      </c>
    </row>
    <row r="471" spans="1:4" x14ac:dyDescent="0.3">
      <c r="A471" t="s">
        <v>1169</v>
      </c>
      <c r="B471" t="s">
        <v>1170</v>
      </c>
      <c r="C471" t="s">
        <v>198</v>
      </c>
      <c r="D471">
        <v>22.273</v>
      </c>
    </row>
    <row r="472" spans="1:4" x14ac:dyDescent="0.3">
      <c r="A472" t="s">
        <v>1171</v>
      </c>
      <c r="B472" t="s">
        <v>1172</v>
      </c>
      <c r="C472" t="s">
        <v>452</v>
      </c>
      <c r="D472">
        <v>118.116</v>
      </c>
    </row>
    <row r="473" spans="1:4" x14ac:dyDescent="0.3">
      <c r="A473" t="s">
        <v>1173</v>
      </c>
      <c r="B473" t="s">
        <v>1174</v>
      </c>
      <c r="C473" t="s">
        <v>1175</v>
      </c>
      <c r="D473">
        <v>27.007999999999999</v>
      </c>
    </row>
    <row r="474" spans="1:4" x14ac:dyDescent="0.3">
      <c r="A474" t="s">
        <v>1176</v>
      </c>
      <c r="B474" t="s">
        <v>1177</v>
      </c>
      <c r="C474" t="s">
        <v>273</v>
      </c>
      <c r="D474">
        <v>44.665999999999997</v>
      </c>
    </row>
    <row r="475" spans="1:4" x14ac:dyDescent="0.3">
      <c r="A475" t="s">
        <v>1178</v>
      </c>
      <c r="B475" t="s">
        <v>1179</v>
      </c>
      <c r="C475" t="s">
        <v>198</v>
      </c>
      <c r="D475">
        <v>182.08</v>
      </c>
    </row>
    <row r="476" spans="1:4" x14ac:dyDescent="0.3">
      <c r="A476" t="s">
        <v>1180</v>
      </c>
      <c r="B476" t="s">
        <v>1181</v>
      </c>
      <c r="C476" t="s">
        <v>198</v>
      </c>
      <c r="D476">
        <v>184.846</v>
      </c>
    </row>
    <row r="477" spans="1:4" x14ac:dyDescent="0.3">
      <c r="A477" t="s">
        <v>1182</v>
      </c>
      <c r="B477" t="s">
        <v>1183</v>
      </c>
      <c r="C477" t="s">
        <v>273</v>
      </c>
      <c r="D477">
        <v>21.100999999999999</v>
      </c>
    </row>
    <row r="478" spans="1:4" x14ac:dyDescent="0.3">
      <c r="A478" t="s">
        <v>1184</v>
      </c>
      <c r="B478" t="s">
        <v>1185</v>
      </c>
      <c r="C478" t="s">
        <v>209</v>
      </c>
      <c r="D478">
        <v>2.68</v>
      </c>
    </row>
    <row r="479" spans="1:4" x14ac:dyDescent="0.3">
      <c r="A479" t="s">
        <v>1186</v>
      </c>
      <c r="B479" t="s">
        <v>1187</v>
      </c>
      <c r="C479" t="s">
        <v>198</v>
      </c>
      <c r="D479">
        <v>39.344999999999999</v>
      </c>
    </row>
    <row r="480" spans="1:4" x14ac:dyDescent="0.3">
      <c r="A480" t="s">
        <v>1188</v>
      </c>
      <c r="B480" t="s">
        <v>1189</v>
      </c>
      <c r="C480" t="s">
        <v>257</v>
      </c>
      <c r="D480">
        <v>1743.2449999999999</v>
      </c>
    </row>
    <row r="481" spans="1:4" x14ac:dyDescent="0.3">
      <c r="A481" t="s">
        <v>1190</v>
      </c>
      <c r="B481" t="s">
        <v>1191</v>
      </c>
      <c r="C481" t="s">
        <v>199</v>
      </c>
      <c r="D481">
        <v>65.483000000000004</v>
      </c>
    </row>
    <row r="482" spans="1:4" x14ac:dyDescent="0.3">
      <c r="A482" t="s">
        <v>1192</v>
      </c>
      <c r="B482" t="s">
        <v>1193</v>
      </c>
      <c r="C482" t="s">
        <v>199</v>
      </c>
      <c r="D482">
        <v>1.681</v>
      </c>
    </row>
    <row r="483" spans="1:4" x14ac:dyDescent="0.3">
      <c r="A483" t="s">
        <v>1194</v>
      </c>
      <c r="B483" t="s">
        <v>1195</v>
      </c>
      <c r="C483" t="s">
        <v>198</v>
      </c>
      <c r="D483">
        <v>21.023</v>
      </c>
    </row>
    <row r="484" spans="1:4" x14ac:dyDescent="0.3">
      <c r="A484" t="s">
        <v>1196</v>
      </c>
      <c r="B484" t="s">
        <v>1197</v>
      </c>
      <c r="C484" t="s">
        <v>257</v>
      </c>
      <c r="D484">
        <v>31.164000000000001</v>
      </c>
    </row>
    <row r="485" spans="1:4" x14ac:dyDescent="0.3">
      <c r="A485" t="s">
        <v>1198</v>
      </c>
      <c r="B485" t="s">
        <v>1199</v>
      </c>
      <c r="C485" t="s">
        <v>257</v>
      </c>
      <c r="D485">
        <v>0.69199999999999995</v>
      </c>
    </row>
    <row r="486" spans="1:4" x14ac:dyDescent="0.3">
      <c r="A486" t="s">
        <v>1592</v>
      </c>
      <c r="B486" t="s">
        <v>1593</v>
      </c>
      <c r="C486" t="s">
        <v>198</v>
      </c>
      <c r="D486">
        <v>27.396999999999998</v>
      </c>
    </row>
    <row r="487" spans="1:4" x14ac:dyDescent="0.3">
      <c r="A487" t="s">
        <v>1200</v>
      </c>
      <c r="B487" t="s">
        <v>1201</v>
      </c>
      <c r="C487" t="s">
        <v>396</v>
      </c>
      <c r="D487">
        <v>934.15800000000002</v>
      </c>
    </row>
    <row r="488" spans="1:4" x14ac:dyDescent="0.3">
      <c r="A488" t="s">
        <v>1202</v>
      </c>
      <c r="B488" t="s">
        <v>1203</v>
      </c>
      <c r="C488" t="s">
        <v>257</v>
      </c>
      <c r="D488">
        <v>4.8460000000000001</v>
      </c>
    </row>
    <row r="489" spans="1:4" x14ac:dyDescent="0.3">
      <c r="A489" t="s">
        <v>1960</v>
      </c>
      <c r="B489" t="s">
        <v>1961</v>
      </c>
      <c r="C489" t="s">
        <v>199</v>
      </c>
      <c r="D489">
        <v>43.850999999999999</v>
      </c>
    </row>
    <row r="490" spans="1:4" x14ac:dyDescent="0.3">
      <c r="A490" t="s">
        <v>1204</v>
      </c>
      <c r="B490" t="s">
        <v>1205</v>
      </c>
      <c r="C490" t="s">
        <v>199</v>
      </c>
      <c r="D490">
        <v>56.036999999999999</v>
      </c>
    </row>
    <row r="491" spans="1:4" x14ac:dyDescent="0.3">
      <c r="A491" t="s">
        <v>1206</v>
      </c>
      <c r="B491" t="s">
        <v>1207</v>
      </c>
      <c r="C491" t="s">
        <v>199</v>
      </c>
      <c r="D491">
        <v>42.52</v>
      </c>
    </row>
    <row r="492" spans="1:4" x14ac:dyDescent="0.3">
      <c r="A492" t="s">
        <v>1208</v>
      </c>
      <c r="B492" t="s">
        <v>1209</v>
      </c>
      <c r="C492" t="s">
        <v>1210</v>
      </c>
      <c r="D492">
        <v>201.68600000000001</v>
      </c>
    </row>
    <row r="493" spans="1:4" x14ac:dyDescent="0.3">
      <c r="A493" t="s">
        <v>1211</v>
      </c>
      <c r="B493" t="s">
        <v>1212</v>
      </c>
      <c r="C493" t="s">
        <v>198</v>
      </c>
      <c r="D493">
        <v>3.89</v>
      </c>
    </row>
    <row r="494" spans="1:4" x14ac:dyDescent="0.3">
      <c r="A494" t="s">
        <v>192</v>
      </c>
      <c r="B494" t="s">
        <v>1213</v>
      </c>
      <c r="C494" t="s">
        <v>198</v>
      </c>
      <c r="D494">
        <v>0.72</v>
      </c>
    </row>
    <row r="495" spans="1:4" x14ac:dyDescent="0.3">
      <c r="A495" t="s">
        <v>1214</v>
      </c>
      <c r="B495" t="s">
        <v>1215</v>
      </c>
      <c r="C495" t="s">
        <v>199</v>
      </c>
      <c r="D495">
        <v>77.052000000000007</v>
      </c>
    </row>
    <row r="496" spans="1:4" x14ac:dyDescent="0.3">
      <c r="A496" t="s">
        <v>1216</v>
      </c>
      <c r="B496" t="s">
        <v>1217</v>
      </c>
      <c r="C496" t="s">
        <v>198</v>
      </c>
      <c r="D496">
        <v>6.673</v>
      </c>
    </row>
    <row r="497" spans="1:4" x14ac:dyDescent="0.3">
      <c r="A497" t="s">
        <v>1631</v>
      </c>
      <c r="B497" t="s">
        <v>1632</v>
      </c>
      <c r="C497" t="s">
        <v>458</v>
      </c>
      <c r="D497">
        <v>27.957999999999998</v>
      </c>
    </row>
    <row r="498" spans="1:4" x14ac:dyDescent="0.3">
      <c r="A498" t="s">
        <v>195</v>
      </c>
      <c r="B498" t="s">
        <v>1218</v>
      </c>
      <c r="C498" t="s">
        <v>688</v>
      </c>
      <c r="D498">
        <v>1.51</v>
      </c>
    </row>
    <row r="499" spans="1:4" x14ac:dyDescent="0.3">
      <c r="A499" t="s">
        <v>1219</v>
      </c>
      <c r="B499" t="s">
        <v>1220</v>
      </c>
      <c r="C499" t="s">
        <v>273</v>
      </c>
      <c r="D499">
        <v>117.762</v>
      </c>
    </row>
    <row r="500" spans="1:4" x14ac:dyDescent="0.3">
      <c r="A500" t="s">
        <v>1221</v>
      </c>
      <c r="B500" t="s">
        <v>1222</v>
      </c>
      <c r="C500" t="s">
        <v>199</v>
      </c>
      <c r="D500">
        <v>0.74399999999999999</v>
      </c>
    </row>
    <row r="501" spans="1:4" x14ac:dyDescent="0.3">
      <c r="A501" t="s">
        <v>1223</v>
      </c>
      <c r="B501" t="s">
        <v>1224</v>
      </c>
      <c r="C501" t="s">
        <v>209</v>
      </c>
      <c r="D501">
        <v>47.529000000000003</v>
      </c>
    </row>
    <row r="502" spans="1:4" x14ac:dyDescent="0.3">
      <c r="A502" t="s">
        <v>1225</v>
      </c>
      <c r="B502" t="s">
        <v>1226</v>
      </c>
      <c r="C502" t="s">
        <v>284</v>
      </c>
      <c r="D502">
        <v>1.6839999999999999</v>
      </c>
    </row>
    <row r="503" spans="1:4" x14ac:dyDescent="0.3">
      <c r="A503" t="s">
        <v>1227</v>
      </c>
      <c r="B503" t="s">
        <v>1228</v>
      </c>
      <c r="C503" t="s">
        <v>284</v>
      </c>
      <c r="D503">
        <v>70.126000000000005</v>
      </c>
    </row>
    <row r="504" spans="1:4" x14ac:dyDescent="0.3">
      <c r="A504" t="s">
        <v>1229</v>
      </c>
      <c r="B504" t="s">
        <v>1594</v>
      </c>
      <c r="C504" t="s">
        <v>442</v>
      </c>
      <c r="D504">
        <v>3.968</v>
      </c>
    </row>
    <row r="505" spans="1:4" x14ac:dyDescent="0.3">
      <c r="A505" t="s">
        <v>1231</v>
      </c>
      <c r="B505" t="s">
        <v>1232</v>
      </c>
      <c r="C505" t="s">
        <v>1233</v>
      </c>
      <c r="D505">
        <v>501.26600000000002</v>
      </c>
    </row>
    <row r="506" spans="1:4" x14ac:dyDescent="0.3">
      <c r="A506" t="s">
        <v>1529</v>
      </c>
      <c r="B506" t="s">
        <v>1595</v>
      </c>
      <c r="C506" t="s">
        <v>273</v>
      </c>
      <c r="D506">
        <v>205.36199999999999</v>
      </c>
    </row>
    <row r="507" spans="1:4" x14ac:dyDescent="0.3">
      <c r="A507" t="s">
        <v>1596</v>
      </c>
      <c r="B507" t="s">
        <v>1597</v>
      </c>
      <c r="C507" t="s">
        <v>198</v>
      </c>
      <c r="D507">
        <v>206.42400000000001</v>
      </c>
    </row>
    <row r="508" spans="1:4" x14ac:dyDescent="0.3">
      <c r="A508" t="s">
        <v>1234</v>
      </c>
      <c r="B508" t="s">
        <v>1235</v>
      </c>
      <c r="C508" t="s">
        <v>198</v>
      </c>
      <c r="D508">
        <v>54.307000000000002</v>
      </c>
    </row>
    <row r="509" spans="1:4" x14ac:dyDescent="0.3">
      <c r="A509" t="s">
        <v>1236</v>
      </c>
      <c r="B509" t="s">
        <v>1237</v>
      </c>
      <c r="C509" t="s">
        <v>311</v>
      </c>
      <c r="D509">
        <v>2.4489999999999998</v>
      </c>
    </row>
    <row r="510" spans="1:4" x14ac:dyDescent="0.3">
      <c r="A510" t="s">
        <v>1238</v>
      </c>
      <c r="B510" t="s">
        <v>1239</v>
      </c>
      <c r="C510" t="s">
        <v>198</v>
      </c>
      <c r="D510">
        <v>102.119</v>
      </c>
    </row>
    <row r="511" spans="1:4" x14ac:dyDescent="0.3">
      <c r="A511" t="s">
        <v>1240</v>
      </c>
      <c r="B511" t="s">
        <v>1241</v>
      </c>
      <c r="C511" t="s">
        <v>405</v>
      </c>
      <c r="D511">
        <v>26.172000000000001</v>
      </c>
    </row>
    <row r="512" spans="1:4" x14ac:dyDescent="0.3">
      <c r="A512" t="s">
        <v>1242</v>
      </c>
      <c r="B512" t="s">
        <v>1243</v>
      </c>
      <c r="C512" t="s">
        <v>442</v>
      </c>
      <c r="D512">
        <v>2.1920000000000002</v>
      </c>
    </row>
    <row r="513" spans="1:4" x14ac:dyDescent="0.3">
      <c r="A513" t="s">
        <v>1962</v>
      </c>
      <c r="B513" t="s">
        <v>1963</v>
      </c>
      <c r="C513" t="s">
        <v>198</v>
      </c>
      <c r="D513">
        <v>393.15899999999999</v>
      </c>
    </row>
    <row r="514" spans="1:4" x14ac:dyDescent="0.3">
      <c r="A514" t="s">
        <v>1244</v>
      </c>
      <c r="B514" t="s">
        <v>1245</v>
      </c>
      <c r="C514" t="s">
        <v>200</v>
      </c>
      <c r="D514">
        <v>37.743000000000002</v>
      </c>
    </row>
    <row r="515" spans="1:4" x14ac:dyDescent="0.3">
      <c r="A515" t="s">
        <v>1246</v>
      </c>
      <c r="B515" t="s">
        <v>1247</v>
      </c>
      <c r="C515" t="s">
        <v>1248</v>
      </c>
      <c r="D515">
        <v>33.99</v>
      </c>
    </row>
    <row r="516" spans="1:4" x14ac:dyDescent="0.3">
      <c r="A516" t="s">
        <v>1249</v>
      </c>
      <c r="B516" t="s">
        <v>1250</v>
      </c>
      <c r="C516" t="s">
        <v>1251</v>
      </c>
      <c r="D516">
        <v>228.93199999999999</v>
      </c>
    </row>
    <row r="517" spans="1:4" x14ac:dyDescent="0.3">
      <c r="A517" t="s">
        <v>1252</v>
      </c>
      <c r="B517" t="s">
        <v>1253</v>
      </c>
      <c r="C517" t="s">
        <v>198</v>
      </c>
      <c r="D517">
        <v>11.465999999999999</v>
      </c>
    </row>
    <row r="518" spans="1:4" x14ac:dyDescent="0.3">
      <c r="A518" t="s">
        <v>1254</v>
      </c>
      <c r="B518" t="s">
        <v>1255</v>
      </c>
      <c r="C518" t="s">
        <v>209</v>
      </c>
      <c r="D518">
        <v>4586.2139999999999</v>
      </c>
    </row>
    <row r="519" spans="1:4" x14ac:dyDescent="0.3">
      <c r="A519" t="s">
        <v>1256</v>
      </c>
      <c r="B519" t="s">
        <v>1257</v>
      </c>
      <c r="C519" t="s">
        <v>209</v>
      </c>
      <c r="D519">
        <v>40116.002</v>
      </c>
    </row>
    <row r="520" spans="1:4" x14ac:dyDescent="0.3">
      <c r="A520" t="s">
        <v>1964</v>
      </c>
      <c r="B520" t="s">
        <v>1965</v>
      </c>
      <c r="C520" t="s">
        <v>199</v>
      </c>
      <c r="D520">
        <v>66.372</v>
      </c>
    </row>
    <row r="521" spans="1:4" x14ac:dyDescent="0.3">
      <c r="A521" t="s">
        <v>1258</v>
      </c>
      <c r="B521" t="s">
        <v>1259</v>
      </c>
      <c r="C521" t="s">
        <v>198</v>
      </c>
      <c r="D521">
        <v>157.22499999999999</v>
      </c>
    </row>
    <row r="522" spans="1:4" x14ac:dyDescent="0.3">
      <c r="A522" t="s">
        <v>1598</v>
      </c>
      <c r="B522" t="s">
        <v>1599</v>
      </c>
      <c r="C522" t="s">
        <v>273</v>
      </c>
      <c r="D522">
        <v>2341.297</v>
      </c>
    </row>
    <row r="523" spans="1:4" x14ac:dyDescent="0.3">
      <c r="A523" t="s">
        <v>1260</v>
      </c>
      <c r="B523" t="s">
        <v>1966</v>
      </c>
      <c r="C523" t="s">
        <v>209</v>
      </c>
      <c r="D523">
        <v>228.78800000000001</v>
      </c>
    </row>
    <row r="524" spans="1:4" x14ac:dyDescent="0.3">
      <c r="A524" t="s">
        <v>193</v>
      </c>
      <c r="B524" t="s">
        <v>1262</v>
      </c>
      <c r="C524" t="s">
        <v>200</v>
      </c>
      <c r="D524">
        <v>0.21</v>
      </c>
    </row>
    <row r="525" spans="1:4" x14ac:dyDescent="0.3">
      <c r="A525" t="s">
        <v>1263</v>
      </c>
      <c r="B525" t="s">
        <v>1262</v>
      </c>
      <c r="C525" t="s">
        <v>209</v>
      </c>
      <c r="D525">
        <v>2.1030000000000002</v>
      </c>
    </row>
    <row r="526" spans="1:4" x14ac:dyDescent="0.3">
      <c r="A526" t="s">
        <v>1264</v>
      </c>
      <c r="B526" t="s">
        <v>1265</v>
      </c>
      <c r="C526" t="s">
        <v>209</v>
      </c>
      <c r="D526">
        <v>151.88800000000001</v>
      </c>
    </row>
    <row r="527" spans="1:4" x14ac:dyDescent="0.3">
      <c r="A527" t="s">
        <v>1266</v>
      </c>
      <c r="B527" t="s">
        <v>1267</v>
      </c>
      <c r="C527" t="s">
        <v>318</v>
      </c>
      <c r="D527">
        <v>3.3119999999999998</v>
      </c>
    </row>
    <row r="528" spans="1:4" x14ac:dyDescent="0.3">
      <c r="A528" t="s">
        <v>1268</v>
      </c>
      <c r="B528" t="s">
        <v>1269</v>
      </c>
      <c r="C528" t="s">
        <v>396</v>
      </c>
      <c r="D528">
        <v>0.115</v>
      </c>
    </row>
    <row r="529" spans="1:4" x14ac:dyDescent="0.3">
      <c r="A529" t="s">
        <v>1270</v>
      </c>
      <c r="B529" t="s">
        <v>1271</v>
      </c>
      <c r="C529" t="s">
        <v>198</v>
      </c>
      <c r="D529">
        <v>13.430999999999999</v>
      </c>
    </row>
    <row r="530" spans="1:4" x14ac:dyDescent="0.3">
      <c r="A530" t="s">
        <v>1272</v>
      </c>
      <c r="B530" t="s">
        <v>1273</v>
      </c>
      <c r="C530" t="s">
        <v>1274</v>
      </c>
      <c r="D530">
        <v>19717.463</v>
      </c>
    </row>
    <row r="531" spans="1:4" x14ac:dyDescent="0.3">
      <c r="A531" t="s">
        <v>1275</v>
      </c>
      <c r="B531" t="s">
        <v>1276</v>
      </c>
      <c r="C531" t="s">
        <v>198</v>
      </c>
      <c r="D531">
        <v>0.154</v>
      </c>
    </row>
    <row r="532" spans="1:4" x14ac:dyDescent="0.3">
      <c r="A532" t="s">
        <v>1277</v>
      </c>
      <c r="B532" t="s">
        <v>1278</v>
      </c>
      <c r="C532" t="s">
        <v>199</v>
      </c>
      <c r="D532">
        <v>2001.895</v>
      </c>
    </row>
    <row r="533" spans="1:4" x14ac:dyDescent="0.3">
      <c r="A533" t="s">
        <v>1967</v>
      </c>
      <c r="B533" t="s">
        <v>1968</v>
      </c>
      <c r="C533" t="s">
        <v>834</v>
      </c>
      <c r="D533">
        <v>283.327</v>
      </c>
    </row>
    <row r="534" spans="1:4" x14ac:dyDescent="0.3">
      <c r="A534" t="s">
        <v>1279</v>
      </c>
      <c r="B534" t="s">
        <v>1280</v>
      </c>
      <c r="C534" t="s">
        <v>198</v>
      </c>
      <c r="D534">
        <v>50.648000000000003</v>
      </c>
    </row>
    <row r="535" spans="1:4" x14ac:dyDescent="0.3">
      <c r="A535" t="s">
        <v>1281</v>
      </c>
      <c r="B535" t="s">
        <v>1282</v>
      </c>
      <c r="C535" t="s">
        <v>200</v>
      </c>
      <c r="D535">
        <v>54.238</v>
      </c>
    </row>
    <row r="536" spans="1:4" x14ac:dyDescent="0.3">
      <c r="A536" t="s">
        <v>1969</v>
      </c>
      <c r="B536" t="s">
        <v>1970</v>
      </c>
      <c r="C536" t="s">
        <v>198</v>
      </c>
      <c r="D536">
        <v>282.17200000000003</v>
      </c>
    </row>
    <row r="537" spans="1:4" x14ac:dyDescent="0.3">
      <c r="A537" t="s">
        <v>1283</v>
      </c>
      <c r="B537" t="s">
        <v>1284</v>
      </c>
      <c r="C537" t="s">
        <v>199</v>
      </c>
      <c r="D537">
        <v>52.067</v>
      </c>
    </row>
    <row r="538" spans="1:4" x14ac:dyDescent="0.3">
      <c r="A538" t="s">
        <v>1285</v>
      </c>
      <c r="B538" t="s">
        <v>1286</v>
      </c>
      <c r="C538" t="s">
        <v>200</v>
      </c>
      <c r="D538">
        <v>24.14</v>
      </c>
    </row>
    <row r="539" spans="1:4" x14ac:dyDescent="0.3">
      <c r="A539" t="s">
        <v>1287</v>
      </c>
      <c r="B539" t="s">
        <v>1288</v>
      </c>
      <c r="C539" t="s">
        <v>198</v>
      </c>
      <c r="D539">
        <v>5.7370000000000001</v>
      </c>
    </row>
    <row r="540" spans="1:4" x14ac:dyDescent="0.3">
      <c r="A540" t="s">
        <v>1289</v>
      </c>
      <c r="B540" t="s">
        <v>1290</v>
      </c>
      <c r="C540" t="s">
        <v>198</v>
      </c>
      <c r="D540">
        <v>28.541</v>
      </c>
    </row>
    <row r="541" spans="1:4" x14ac:dyDescent="0.3">
      <c r="A541" t="s">
        <v>1291</v>
      </c>
      <c r="B541" t="s">
        <v>1292</v>
      </c>
      <c r="C541" t="s">
        <v>199</v>
      </c>
      <c r="D541">
        <v>63.542999999999999</v>
      </c>
    </row>
    <row r="542" spans="1:4" x14ac:dyDescent="0.3">
      <c r="A542" t="s">
        <v>1293</v>
      </c>
      <c r="B542" t="s">
        <v>1294</v>
      </c>
      <c r="C542" t="s">
        <v>199</v>
      </c>
      <c r="D542">
        <v>62.146999999999998</v>
      </c>
    </row>
    <row r="543" spans="1:4" x14ac:dyDescent="0.3">
      <c r="A543" t="s">
        <v>1295</v>
      </c>
      <c r="B543" t="s">
        <v>1296</v>
      </c>
      <c r="C543" t="s">
        <v>199</v>
      </c>
      <c r="D543">
        <v>124.16500000000001</v>
      </c>
    </row>
    <row r="544" spans="1:4" x14ac:dyDescent="0.3">
      <c r="A544" t="s">
        <v>1297</v>
      </c>
      <c r="B544" t="s">
        <v>1971</v>
      </c>
      <c r="C544" t="s">
        <v>199</v>
      </c>
      <c r="D544">
        <v>73.186000000000007</v>
      </c>
    </row>
    <row r="545" spans="1:4" x14ac:dyDescent="0.3">
      <c r="A545" t="s">
        <v>1299</v>
      </c>
      <c r="B545" t="s">
        <v>1300</v>
      </c>
      <c r="C545" t="s">
        <v>198</v>
      </c>
      <c r="D545">
        <v>12.984999999999999</v>
      </c>
    </row>
    <row r="546" spans="1:4" x14ac:dyDescent="0.3">
      <c r="A546" t="s">
        <v>1301</v>
      </c>
      <c r="B546" t="s">
        <v>1302</v>
      </c>
      <c r="C546" t="s">
        <v>198</v>
      </c>
      <c r="D546">
        <v>310.93200000000002</v>
      </c>
    </row>
    <row r="547" spans="1:4" x14ac:dyDescent="0.3">
      <c r="A547" t="s">
        <v>1303</v>
      </c>
      <c r="B547" t="s">
        <v>1304</v>
      </c>
      <c r="C547" t="s">
        <v>200</v>
      </c>
      <c r="D547">
        <v>61.656999999999996</v>
      </c>
    </row>
    <row r="548" spans="1:4" x14ac:dyDescent="0.3">
      <c r="A548" t="s">
        <v>1600</v>
      </c>
      <c r="B548" t="s">
        <v>1601</v>
      </c>
      <c r="C548" t="s">
        <v>198</v>
      </c>
      <c r="D548">
        <v>112.11499999999999</v>
      </c>
    </row>
    <row r="549" spans="1:4" x14ac:dyDescent="0.3">
      <c r="A549" t="s">
        <v>1305</v>
      </c>
      <c r="B549" t="s">
        <v>1306</v>
      </c>
      <c r="C549" t="s">
        <v>1307</v>
      </c>
      <c r="D549">
        <v>40.228999999999999</v>
      </c>
    </row>
    <row r="550" spans="1:4" x14ac:dyDescent="0.3">
      <c r="A550" t="s">
        <v>1308</v>
      </c>
      <c r="B550" t="s">
        <v>1309</v>
      </c>
      <c r="C550" t="s">
        <v>199</v>
      </c>
      <c r="D550">
        <v>91.263999999999996</v>
      </c>
    </row>
    <row r="551" spans="1:4" x14ac:dyDescent="0.3">
      <c r="A551" t="s">
        <v>1972</v>
      </c>
      <c r="B551" t="s">
        <v>1973</v>
      </c>
      <c r="C551" t="s">
        <v>318</v>
      </c>
      <c r="D551">
        <v>22.475999999999999</v>
      </c>
    </row>
    <row r="552" spans="1:4" x14ac:dyDescent="0.3">
      <c r="A552" t="s">
        <v>1310</v>
      </c>
      <c r="B552" t="s">
        <v>1311</v>
      </c>
      <c r="C552" t="s">
        <v>198</v>
      </c>
      <c r="D552">
        <v>336.66300000000001</v>
      </c>
    </row>
    <row r="553" spans="1:4" x14ac:dyDescent="0.3">
      <c r="A553" t="s">
        <v>1918</v>
      </c>
      <c r="B553" t="s">
        <v>1974</v>
      </c>
      <c r="C553" t="s">
        <v>1134</v>
      </c>
      <c r="D553">
        <v>29.504999999999999</v>
      </c>
    </row>
    <row r="554" spans="1:4" x14ac:dyDescent="0.3">
      <c r="A554" t="s">
        <v>1312</v>
      </c>
      <c r="B554" t="s">
        <v>1313</v>
      </c>
      <c r="C554" t="s">
        <v>405</v>
      </c>
      <c r="D554">
        <v>348.72699999999998</v>
      </c>
    </row>
    <row r="555" spans="1:4" x14ac:dyDescent="0.3">
      <c r="A555" t="s">
        <v>1314</v>
      </c>
      <c r="B555" t="s">
        <v>1315</v>
      </c>
      <c r="C555" t="s">
        <v>1316</v>
      </c>
      <c r="D555">
        <v>54.017000000000003</v>
      </c>
    </row>
    <row r="556" spans="1:4" x14ac:dyDescent="0.3">
      <c r="A556" t="s">
        <v>1317</v>
      </c>
      <c r="B556" t="s">
        <v>1318</v>
      </c>
      <c r="C556" t="s">
        <v>198</v>
      </c>
      <c r="D556">
        <v>10.375</v>
      </c>
    </row>
    <row r="557" spans="1:4" x14ac:dyDescent="0.3">
      <c r="A557" t="s">
        <v>1319</v>
      </c>
      <c r="B557" t="s">
        <v>1320</v>
      </c>
      <c r="C557" t="s">
        <v>198</v>
      </c>
      <c r="D557">
        <v>42.857999999999997</v>
      </c>
    </row>
    <row r="558" spans="1:4" x14ac:dyDescent="0.3">
      <c r="A558" t="s">
        <v>1321</v>
      </c>
      <c r="B558" t="s">
        <v>1322</v>
      </c>
      <c r="C558" t="s">
        <v>659</v>
      </c>
      <c r="D558">
        <v>454.81700000000001</v>
      </c>
    </row>
    <row r="559" spans="1:4" x14ac:dyDescent="0.3">
      <c r="A559" t="s">
        <v>1323</v>
      </c>
      <c r="B559" t="s">
        <v>1324</v>
      </c>
      <c r="C559" t="s">
        <v>273</v>
      </c>
      <c r="D559">
        <v>1.1160000000000001</v>
      </c>
    </row>
    <row r="560" spans="1:4" x14ac:dyDescent="0.3">
      <c r="A560" t="s">
        <v>1325</v>
      </c>
      <c r="B560" t="s">
        <v>1326</v>
      </c>
      <c r="C560" t="s">
        <v>273</v>
      </c>
      <c r="D560">
        <v>318.916</v>
      </c>
    </row>
    <row r="561" spans="1:4" x14ac:dyDescent="0.3">
      <c r="A561" t="s">
        <v>1327</v>
      </c>
      <c r="B561" t="s">
        <v>1328</v>
      </c>
      <c r="C561" t="s">
        <v>198</v>
      </c>
      <c r="D561">
        <v>32.847000000000001</v>
      </c>
    </row>
    <row r="562" spans="1:4" x14ac:dyDescent="0.3">
      <c r="A562" t="s">
        <v>1329</v>
      </c>
      <c r="B562" t="s">
        <v>1330</v>
      </c>
      <c r="C562" t="s">
        <v>199</v>
      </c>
      <c r="D562">
        <v>97.921000000000006</v>
      </c>
    </row>
    <row r="563" spans="1:4" x14ac:dyDescent="0.3">
      <c r="A563" t="s">
        <v>1331</v>
      </c>
      <c r="B563" t="s">
        <v>1332</v>
      </c>
      <c r="C563" t="s">
        <v>199</v>
      </c>
      <c r="D563">
        <v>74.588999999999999</v>
      </c>
    </row>
    <row r="564" spans="1:4" x14ac:dyDescent="0.3">
      <c r="A564" t="s">
        <v>1333</v>
      </c>
      <c r="B564" t="s">
        <v>1334</v>
      </c>
      <c r="C564" t="s">
        <v>442</v>
      </c>
      <c r="D564">
        <v>1513.404</v>
      </c>
    </row>
    <row r="565" spans="1:4" x14ac:dyDescent="0.3">
      <c r="A565" t="s">
        <v>1633</v>
      </c>
      <c r="B565" t="s">
        <v>1634</v>
      </c>
      <c r="C565" t="s">
        <v>198</v>
      </c>
      <c r="D565">
        <v>24.131</v>
      </c>
    </row>
    <row r="566" spans="1:4" x14ac:dyDescent="0.3">
      <c r="A566" t="s">
        <v>1335</v>
      </c>
      <c r="B566" t="s">
        <v>1336</v>
      </c>
      <c r="C566" t="s">
        <v>198</v>
      </c>
      <c r="D566">
        <v>3.6779999999999999</v>
      </c>
    </row>
    <row r="567" spans="1:4" x14ac:dyDescent="0.3">
      <c r="A567" t="s">
        <v>1337</v>
      </c>
      <c r="B567" t="s">
        <v>1338</v>
      </c>
      <c r="C567" t="s">
        <v>198</v>
      </c>
      <c r="D567">
        <v>5.04</v>
      </c>
    </row>
    <row r="568" spans="1:4" x14ac:dyDescent="0.3">
      <c r="A568" t="s">
        <v>1339</v>
      </c>
      <c r="B568" t="s">
        <v>1340</v>
      </c>
      <c r="C568" t="s">
        <v>198</v>
      </c>
      <c r="D568">
        <v>3320.3969999999999</v>
      </c>
    </row>
    <row r="569" spans="1:4" x14ac:dyDescent="0.3">
      <c r="A569" t="s">
        <v>1341</v>
      </c>
      <c r="B569" t="s">
        <v>1342</v>
      </c>
      <c r="C569" t="s">
        <v>199</v>
      </c>
      <c r="D569">
        <v>9.5440000000000005</v>
      </c>
    </row>
    <row r="570" spans="1:4" x14ac:dyDescent="0.3">
      <c r="A570" t="s">
        <v>1343</v>
      </c>
      <c r="B570" t="s">
        <v>1344</v>
      </c>
      <c r="C570" t="s">
        <v>553</v>
      </c>
      <c r="D570">
        <v>54.765000000000001</v>
      </c>
    </row>
    <row r="571" spans="1:4" x14ac:dyDescent="0.3">
      <c r="A571" t="s">
        <v>1345</v>
      </c>
      <c r="B571" t="s">
        <v>1346</v>
      </c>
      <c r="C571" t="s">
        <v>198</v>
      </c>
      <c r="D571">
        <v>8.4960000000000004</v>
      </c>
    </row>
    <row r="572" spans="1:4" x14ac:dyDescent="0.3">
      <c r="A572" t="s">
        <v>1347</v>
      </c>
      <c r="B572" t="s">
        <v>1348</v>
      </c>
      <c r="C572" t="s">
        <v>522</v>
      </c>
      <c r="D572">
        <v>10.49</v>
      </c>
    </row>
    <row r="573" spans="1:4" x14ac:dyDescent="0.3">
      <c r="A573" t="s">
        <v>1349</v>
      </c>
      <c r="B573" t="s">
        <v>1350</v>
      </c>
      <c r="C573" t="s">
        <v>951</v>
      </c>
      <c r="D573">
        <v>52.45</v>
      </c>
    </row>
    <row r="574" spans="1:4" x14ac:dyDescent="0.3">
      <c r="A574" t="s">
        <v>1351</v>
      </c>
      <c r="B574" t="s">
        <v>1352</v>
      </c>
      <c r="C574" t="s">
        <v>1353</v>
      </c>
      <c r="D574">
        <v>20.98</v>
      </c>
    </row>
    <row r="575" spans="1:4" x14ac:dyDescent="0.3">
      <c r="A575" t="s">
        <v>1354</v>
      </c>
      <c r="B575" t="s">
        <v>1355</v>
      </c>
      <c r="C575" t="s">
        <v>522</v>
      </c>
      <c r="D575">
        <v>52.45</v>
      </c>
    </row>
    <row r="576" spans="1:4" x14ac:dyDescent="0.3">
      <c r="A576" t="s">
        <v>1356</v>
      </c>
      <c r="B576" t="s">
        <v>1357</v>
      </c>
      <c r="C576" t="s">
        <v>198</v>
      </c>
      <c r="D576">
        <v>0.93200000000000005</v>
      </c>
    </row>
    <row r="577" spans="1:4" x14ac:dyDescent="0.3">
      <c r="A577" t="s">
        <v>1358</v>
      </c>
      <c r="B577" t="s">
        <v>1359</v>
      </c>
      <c r="C577" t="s">
        <v>198</v>
      </c>
      <c r="D577">
        <v>0.93200000000000005</v>
      </c>
    </row>
    <row r="578" spans="1:4" x14ac:dyDescent="0.3">
      <c r="A578" t="s">
        <v>1360</v>
      </c>
      <c r="B578" t="s">
        <v>1361</v>
      </c>
      <c r="C578" t="s">
        <v>198</v>
      </c>
      <c r="D578">
        <v>1.6E-2</v>
      </c>
    </row>
    <row r="579" spans="1:4" x14ac:dyDescent="0.3">
      <c r="A579" t="s">
        <v>1364</v>
      </c>
      <c r="B579" t="s">
        <v>1365</v>
      </c>
      <c r="C579" t="s">
        <v>200</v>
      </c>
      <c r="D579">
        <v>0.29599999999999999</v>
      </c>
    </row>
    <row r="580" spans="1:4" x14ac:dyDescent="0.3">
      <c r="A580" t="s">
        <v>1366</v>
      </c>
      <c r="B580" t="s">
        <v>1367</v>
      </c>
      <c r="C580" t="s">
        <v>198</v>
      </c>
      <c r="D580">
        <v>1.4630000000000001</v>
      </c>
    </row>
    <row r="581" spans="1:4" x14ac:dyDescent="0.3">
      <c r="A581" t="s">
        <v>1368</v>
      </c>
      <c r="B581" t="s">
        <v>1369</v>
      </c>
      <c r="C581" t="s">
        <v>1134</v>
      </c>
      <c r="D581">
        <v>0.80300000000000005</v>
      </c>
    </row>
    <row r="582" spans="1:4" x14ac:dyDescent="0.3">
      <c r="A582" t="s">
        <v>1374</v>
      </c>
      <c r="B582" t="s">
        <v>1375</v>
      </c>
      <c r="C582" t="s">
        <v>1376</v>
      </c>
      <c r="D582">
        <v>49649.408000000003</v>
      </c>
    </row>
    <row r="583" spans="1:4" x14ac:dyDescent="0.3">
      <c r="A583" t="s">
        <v>191</v>
      </c>
      <c r="B583" t="s">
        <v>1377</v>
      </c>
      <c r="C583" t="s">
        <v>199</v>
      </c>
      <c r="D583">
        <v>298.80200000000002</v>
      </c>
    </row>
    <row r="584" spans="1:4" x14ac:dyDescent="0.3">
      <c r="A584" t="s">
        <v>1378</v>
      </c>
      <c r="B584" t="s">
        <v>1379</v>
      </c>
      <c r="C584" t="s">
        <v>452</v>
      </c>
      <c r="D584">
        <v>54.417000000000002</v>
      </c>
    </row>
    <row r="585" spans="1:4" x14ac:dyDescent="0.3">
      <c r="A585" t="s">
        <v>1380</v>
      </c>
      <c r="B585" t="s">
        <v>1381</v>
      </c>
      <c r="C585" t="s">
        <v>1382</v>
      </c>
      <c r="D585">
        <v>140.08799999999999</v>
      </c>
    </row>
    <row r="586" spans="1:4" x14ac:dyDescent="0.3">
      <c r="A586" t="s">
        <v>1383</v>
      </c>
      <c r="B586" t="s">
        <v>1384</v>
      </c>
      <c r="C586" t="s">
        <v>360</v>
      </c>
      <c r="D586">
        <v>0.88200000000000001</v>
      </c>
    </row>
    <row r="587" spans="1:4" x14ac:dyDescent="0.3">
      <c r="A587" t="s">
        <v>1385</v>
      </c>
      <c r="B587" t="s">
        <v>1386</v>
      </c>
      <c r="C587" t="s">
        <v>1042</v>
      </c>
      <c r="D587">
        <v>30.456</v>
      </c>
    </row>
    <row r="588" spans="1:4" x14ac:dyDescent="0.3">
      <c r="A588" t="s">
        <v>1387</v>
      </c>
      <c r="B588" t="s">
        <v>1388</v>
      </c>
      <c r="C588" t="s">
        <v>1042</v>
      </c>
      <c r="D588">
        <v>9.5630000000000006</v>
      </c>
    </row>
    <row r="589" spans="1:4" x14ac:dyDescent="0.3">
      <c r="A589" t="s">
        <v>1389</v>
      </c>
      <c r="B589" t="s">
        <v>1390</v>
      </c>
      <c r="C589" t="s">
        <v>1042</v>
      </c>
      <c r="D589">
        <v>31.858000000000001</v>
      </c>
    </row>
    <row r="590" spans="1:4" x14ac:dyDescent="0.3">
      <c r="A590" t="s">
        <v>1393</v>
      </c>
      <c r="B590" t="s">
        <v>1394</v>
      </c>
      <c r="C590" t="s">
        <v>1042</v>
      </c>
      <c r="D590">
        <v>42.33</v>
      </c>
    </row>
    <row r="591" spans="1:4" x14ac:dyDescent="0.3">
      <c r="A591" t="s">
        <v>1395</v>
      </c>
      <c r="B591" t="s">
        <v>1396</v>
      </c>
      <c r="C591" t="s">
        <v>1042</v>
      </c>
      <c r="D591">
        <v>7.02</v>
      </c>
    </row>
    <row r="592" spans="1:4" x14ac:dyDescent="0.3">
      <c r="A592" t="s">
        <v>1403</v>
      </c>
      <c r="B592" t="s">
        <v>1404</v>
      </c>
      <c r="C592" t="s">
        <v>1042</v>
      </c>
      <c r="D592">
        <v>43.448999999999998</v>
      </c>
    </row>
    <row r="593" spans="1:4" x14ac:dyDescent="0.3">
      <c r="A593" t="s">
        <v>1405</v>
      </c>
      <c r="B593" t="s">
        <v>1406</v>
      </c>
      <c r="C593" t="s">
        <v>1042</v>
      </c>
      <c r="D593">
        <v>116.59399999999999</v>
      </c>
    </row>
    <row r="594" spans="1:4" x14ac:dyDescent="0.3">
      <c r="A594" t="s">
        <v>1407</v>
      </c>
      <c r="B594" t="s">
        <v>1408</v>
      </c>
      <c r="C594" t="s">
        <v>1042</v>
      </c>
      <c r="D594">
        <v>135.23400000000001</v>
      </c>
    </row>
    <row r="595" spans="1:4" x14ac:dyDescent="0.3">
      <c r="A595" t="s">
        <v>1409</v>
      </c>
      <c r="B595" t="s">
        <v>1410</v>
      </c>
      <c r="C595" t="s">
        <v>1042</v>
      </c>
      <c r="D595">
        <v>86.588999999999999</v>
      </c>
    </row>
    <row r="596" spans="1:4" x14ac:dyDescent="0.3">
      <c r="A596" t="s">
        <v>1411</v>
      </c>
      <c r="B596" t="s">
        <v>1412</v>
      </c>
      <c r="C596" t="s">
        <v>198</v>
      </c>
      <c r="D596">
        <v>18.661999999999999</v>
      </c>
    </row>
    <row r="597" spans="1:4" x14ac:dyDescent="0.3">
      <c r="A597" t="s">
        <v>1413</v>
      </c>
      <c r="B597" t="s">
        <v>1414</v>
      </c>
      <c r="C597" t="s">
        <v>1042</v>
      </c>
      <c r="D597">
        <v>126.011</v>
      </c>
    </row>
    <row r="598" spans="1:4" x14ac:dyDescent="0.3">
      <c r="A598" t="s">
        <v>1415</v>
      </c>
      <c r="B598" t="s">
        <v>1416</v>
      </c>
      <c r="C598" t="s">
        <v>1042</v>
      </c>
      <c r="D598">
        <v>110.822</v>
      </c>
    </row>
    <row r="599" spans="1:4" x14ac:dyDescent="0.3">
      <c r="A599" t="s">
        <v>1419</v>
      </c>
      <c r="B599" t="s">
        <v>1420</v>
      </c>
      <c r="C599" t="s">
        <v>1042</v>
      </c>
      <c r="D599">
        <v>99.525999999999996</v>
      </c>
    </row>
    <row r="600" spans="1:4" x14ac:dyDescent="0.3">
      <c r="A600" t="s">
        <v>1423</v>
      </c>
      <c r="B600" t="s">
        <v>1424</v>
      </c>
      <c r="C600" t="s">
        <v>1042</v>
      </c>
      <c r="D600">
        <v>156.22900000000001</v>
      </c>
    </row>
    <row r="601" spans="1:4" x14ac:dyDescent="0.3">
      <c r="A601" t="s">
        <v>1425</v>
      </c>
      <c r="B601" t="s">
        <v>1426</v>
      </c>
      <c r="C601" t="s">
        <v>1042</v>
      </c>
      <c r="D601">
        <v>95.484999999999999</v>
      </c>
    </row>
    <row r="602" spans="1:4" x14ac:dyDescent="0.3">
      <c r="A602" t="s">
        <v>1427</v>
      </c>
      <c r="B602" t="s">
        <v>1428</v>
      </c>
      <c r="C602" t="s">
        <v>1042</v>
      </c>
      <c r="D602">
        <v>108.758</v>
      </c>
    </row>
    <row r="603" spans="1:4" x14ac:dyDescent="0.3">
      <c r="A603" t="s">
        <v>1429</v>
      </c>
      <c r="B603" t="s">
        <v>1430</v>
      </c>
      <c r="C603" t="s">
        <v>452</v>
      </c>
      <c r="D603">
        <v>0.41299999999999998</v>
      </c>
    </row>
    <row r="604" spans="1:4" x14ac:dyDescent="0.3">
      <c r="A604" t="s">
        <v>1431</v>
      </c>
      <c r="B604" t="s">
        <v>1432</v>
      </c>
      <c r="C604" t="s">
        <v>199</v>
      </c>
      <c r="D604">
        <v>43.058999999999997</v>
      </c>
    </row>
    <row r="605" spans="1:4" x14ac:dyDescent="0.3">
      <c r="A605" t="s">
        <v>1433</v>
      </c>
      <c r="B605" t="s">
        <v>1434</v>
      </c>
      <c r="C605" t="s">
        <v>199</v>
      </c>
      <c r="D605">
        <v>42.085999999999999</v>
      </c>
    </row>
    <row r="606" spans="1:4" x14ac:dyDescent="0.3">
      <c r="A606" t="s">
        <v>1435</v>
      </c>
      <c r="B606" t="s">
        <v>1436</v>
      </c>
      <c r="C606" t="s">
        <v>360</v>
      </c>
      <c r="D606">
        <v>0.85499999999999998</v>
      </c>
    </row>
    <row r="607" spans="1:4" x14ac:dyDescent="0.3">
      <c r="A607" t="s">
        <v>1437</v>
      </c>
      <c r="B607" t="s">
        <v>1438</v>
      </c>
      <c r="C607" t="s">
        <v>432</v>
      </c>
      <c r="D607">
        <v>8.5470000000000006</v>
      </c>
    </row>
    <row r="608" spans="1:4" x14ac:dyDescent="0.3">
      <c r="A608" t="s">
        <v>1602</v>
      </c>
      <c r="B608" t="s">
        <v>1603</v>
      </c>
      <c r="C608" t="s">
        <v>199</v>
      </c>
      <c r="D608">
        <v>56.732999999999997</v>
      </c>
    </row>
    <row r="609" spans="1:4" x14ac:dyDescent="0.3">
      <c r="A609" t="s">
        <v>1439</v>
      </c>
      <c r="B609" t="s">
        <v>1440</v>
      </c>
      <c r="C609" t="s">
        <v>396</v>
      </c>
      <c r="D609">
        <v>248.16200000000001</v>
      </c>
    </row>
    <row r="610" spans="1:4" x14ac:dyDescent="0.3">
      <c r="A610" t="s">
        <v>1441</v>
      </c>
      <c r="B610" t="s">
        <v>1442</v>
      </c>
      <c r="C610" t="s">
        <v>452</v>
      </c>
      <c r="D610">
        <v>0.52300000000000002</v>
      </c>
    </row>
    <row r="611" spans="1:4" x14ac:dyDescent="0.3">
      <c r="A611" t="s">
        <v>1443</v>
      </c>
      <c r="B611" t="s">
        <v>1444</v>
      </c>
      <c r="C611" t="s">
        <v>396</v>
      </c>
      <c r="D611">
        <v>267.786</v>
      </c>
    </row>
    <row r="612" spans="1:4" x14ac:dyDescent="0.3">
      <c r="A612" t="s">
        <v>1635</v>
      </c>
      <c r="B612" t="s">
        <v>1636</v>
      </c>
      <c r="C612" t="s">
        <v>199</v>
      </c>
      <c r="D612">
        <v>88.165999999999997</v>
      </c>
    </row>
    <row r="613" spans="1:4" x14ac:dyDescent="0.3">
      <c r="A613" t="s">
        <v>1637</v>
      </c>
      <c r="B613" t="s">
        <v>1638</v>
      </c>
      <c r="C613" t="s">
        <v>199</v>
      </c>
      <c r="D613">
        <v>86.424999999999997</v>
      </c>
    </row>
    <row r="614" spans="1:4" x14ac:dyDescent="0.3">
      <c r="A614" t="s">
        <v>1604</v>
      </c>
      <c r="B614" t="s">
        <v>1605</v>
      </c>
      <c r="C614" t="s">
        <v>199</v>
      </c>
      <c r="D614">
        <v>73.063999999999993</v>
      </c>
    </row>
    <row r="615" spans="1:4" x14ac:dyDescent="0.3">
      <c r="A615" t="s">
        <v>1606</v>
      </c>
      <c r="B615" t="s">
        <v>1607</v>
      </c>
      <c r="C615" t="s">
        <v>199</v>
      </c>
      <c r="D615">
        <v>68.498000000000005</v>
      </c>
    </row>
    <row r="616" spans="1:4" x14ac:dyDescent="0.3">
      <c r="A616" t="s">
        <v>1639</v>
      </c>
      <c r="B616" t="s">
        <v>1640</v>
      </c>
      <c r="C616" t="s">
        <v>199</v>
      </c>
      <c r="D616">
        <v>74.022999999999996</v>
      </c>
    </row>
    <row r="617" spans="1:4" x14ac:dyDescent="0.3">
      <c r="A617" t="s">
        <v>1608</v>
      </c>
      <c r="B617" t="s">
        <v>1609</v>
      </c>
      <c r="C617" t="s">
        <v>199</v>
      </c>
      <c r="D617">
        <v>72.498999999999995</v>
      </c>
    </row>
    <row r="618" spans="1:4" x14ac:dyDescent="0.3">
      <c r="A618" t="s">
        <v>1641</v>
      </c>
      <c r="B618" t="s">
        <v>1642</v>
      </c>
      <c r="C618" t="s">
        <v>199</v>
      </c>
      <c r="D618">
        <v>59.470999999999997</v>
      </c>
    </row>
    <row r="619" spans="1:4" x14ac:dyDescent="0.3">
      <c r="A619" t="s">
        <v>1643</v>
      </c>
      <c r="B619" t="s">
        <v>1644</v>
      </c>
      <c r="C619" t="s">
        <v>199</v>
      </c>
      <c r="D619">
        <v>67.322999999999993</v>
      </c>
    </row>
    <row r="620" spans="1:4" x14ac:dyDescent="0.3">
      <c r="A620" t="s">
        <v>1645</v>
      </c>
      <c r="B620" t="s">
        <v>1646</v>
      </c>
      <c r="C620" t="s">
        <v>396</v>
      </c>
      <c r="D620">
        <v>297.96199999999999</v>
      </c>
    </row>
    <row r="621" spans="1:4" x14ac:dyDescent="0.3">
      <c r="A621" t="s">
        <v>1975</v>
      </c>
      <c r="B621" t="s">
        <v>1976</v>
      </c>
      <c r="C621" t="s">
        <v>199</v>
      </c>
      <c r="D621">
        <v>51.5</v>
      </c>
    </row>
    <row r="622" spans="1:4" x14ac:dyDescent="0.3">
      <c r="A622" t="s">
        <v>1445</v>
      </c>
      <c r="B622" t="s">
        <v>1446</v>
      </c>
      <c r="C622" t="s">
        <v>204</v>
      </c>
      <c r="D622">
        <v>18.231000000000002</v>
      </c>
    </row>
    <row r="623" spans="1:4" x14ac:dyDescent="0.3">
      <c r="A623" t="s">
        <v>1447</v>
      </c>
      <c r="B623" t="s">
        <v>1448</v>
      </c>
      <c r="C623" t="s">
        <v>204</v>
      </c>
      <c r="D623">
        <v>31.376999999999999</v>
      </c>
    </row>
    <row r="624" spans="1:4" x14ac:dyDescent="0.3">
      <c r="A624" t="s">
        <v>1449</v>
      </c>
      <c r="B624" t="s">
        <v>1450</v>
      </c>
      <c r="C624" t="s">
        <v>204</v>
      </c>
      <c r="D624">
        <v>47.064999999999998</v>
      </c>
    </row>
    <row r="625" spans="1:4" x14ac:dyDescent="0.3">
      <c r="A625" t="s">
        <v>1451</v>
      </c>
      <c r="B625" t="s">
        <v>1452</v>
      </c>
      <c r="C625" t="s">
        <v>204</v>
      </c>
      <c r="D625">
        <v>7.0999999999999994E-2</v>
      </c>
    </row>
    <row r="626" spans="1:4" x14ac:dyDescent="0.3">
      <c r="A626" t="s">
        <v>1610</v>
      </c>
      <c r="B626" t="s">
        <v>1611</v>
      </c>
      <c r="C626" t="s">
        <v>204</v>
      </c>
      <c r="D626">
        <v>0.27400000000000002</v>
      </c>
    </row>
    <row r="627" spans="1:4" x14ac:dyDescent="0.3">
      <c r="A627" t="s">
        <v>1612</v>
      </c>
      <c r="B627" t="s">
        <v>1613</v>
      </c>
      <c r="C627" t="s">
        <v>204</v>
      </c>
      <c r="D627">
        <v>0.26400000000000001</v>
      </c>
    </row>
    <row r="628" spans="1:4" x14ac:dyDescent="0.3">
      <c r="A628" t="s">
        <v>1453</v>
      </c>
      <c r="B628" t="s">
        <v>1454</v>
      </c>
      <c r="C628" t="s">
        <v>204</v>
      </c>
      <c r="D628">
        <v>0.184</v>
      </c>
    </row>
    <row r="629" spans="1:4" x14ac:dyDescent="0.3">
      <c r="A629" t="s">
        <v>1455</v>
      </c>
      <c r="B629" t="s">
        <v>1456</v>
      </c>
      <c r="C629" t="s">
        <v>204</v>
      </c>
      <c r="D629">
        <v>0.85199999999999998</v>
      </c>
    </row>
    <row r="630" spans="1:4" x14ac:dyDescent="0.3">
      <c r="A630" t="s">
        <v>1457</v>
      </c>
      <c r="B630" t="s">
        <v>1458</v>
      </c>
      <c r="C630" t="s">
        <v>204</v>
      </c>
      <c r="D630">
        <v>0.32600000000000001</v>
      </c>
    </row>
    <row r="631" spans="1:4" x14ac:dyDescent="0.3">
      <c r="A631" t="s">
        <v>1459</v>
      </c>
      <c r="B631" t="s">
        <v>1460</v>
      </c>
      <c r="C631" t="s">
        <v>204</v>
      </c>
      <c r="D631">
        <v>0.114</v>
      </c>
    </row>
    <row r="632" spans="1:4" x14ac:dyDescent="0.3">
      <c r="A632" t="s">
        <v>1461</v>
      </c>
      <c r="B632" t="s">
        <v>1462</v>
      </c>
      <c r="C632" t="s">
        <v>1463</v>
      </c>
      <c r="D632">
        <v>1737.2570000000001</v>
      </c>
    </row>
    <row r="633" spans="1:4" x14ac:dyDescent="0.3">
      <c r="A633" t="s">
        <v>1464</v>
      </c>
      <c r="B633" t="s">
        <v>1465</v>
      </c>
      <c r="C633" t="s">
        <v>1466</v>
      </c>
      <c r="D633">
        <v>1737.2570000000001</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DFEEC-2F28-4062-9B08-F3861DDF4A84}">
  <dimension ref="A1:D641"/>
  <sheetViews>
    <sheetView topLeftCell="A433" workbookViewId="0">
      <selection activeCell="B465" sqref="B465"/>
    </sheetView>
  </sheetViews>
  <sheetFormatPr defaultRowHeight="14.4" x14ac:dyDescent="0.3"/>
  <cols>
    <col min="1" max="1" width="13.21875" customWidth="1"/>
    <col min="2" max="2" width="28.77734375" bestFit="1" customWidth="1"/>
    <col min="3" max="3" width="19.5546875" customWidth="1"/>
    <col min="4" max="4" width="15" customWidth="1"/>
  </cols>
  <sheetData>
    <row r="1" spans="1:4" x14ac:dyDescent="0.3">
      <c r="A1" s="149" t="s">
        <v>201</v>
      </c>
      <c r="B1" s="149" t="s">
        <v>202</v>
      </c>
      <c r="C1" s="149" t="s">
        <v>196</v>
      </c>
      <c r="D1" s="149" t="s">
        <v>197</v>
      </c>
    </row>
    <row r="2" spans="1:4" x14ac:dyDescent="0.3">
      <c r="A2">
        <v>90371</v>
      </c>
      <c r="B2" t="s">
        <v>203</v>
      </c>
      <c r="C2" t="s">
        <v>204</v>
      </c>
      <c r="D2">
        <v>131.857</v>
      </c>
    </row>
    <row r="3" spans="1:4" x14ac:dyDescent="0.3">
      <c r="A3">
        <v>90375</v>
      </c>
      <c r="B3" t="s">
        <v>205</v>
      </c>
      <c r="C3" t="s">
        <v>206</v>
      </c>
      <c r="D3">
        <v>297.80399999999997</v>
      </c>
    </row>
    <row r="4" spans="1:4" x14ac:dyDescent="0.3">
      <c r="A4">
        <v>90376</v>
      </c>
      <c r="B4" t="s">
        <v>207</v>
      </c>
      <c r="C4" t="s">
        <v>206</v>
      </c>
      <c r="D4">
        <v>309.09899999999999</v>
      </c>
    </row>
    <row r="5" spans="1:4" x14ac:dyDescent="0.3">
      <c r="A5">
        <v>90586</v>
      </c>
      <c r="B5" t="s">
        <v>210</v>
      </c>
      <c r="C5" t="s">
        <v>211</v>
      </c>
      <c r="D5">
        <v>142.511</v>
      </c>
    </row>
    <row r="6" spans="1:4" x14ac:dyDescent="0.3">
      <c r="A6">
        <v>90632</v>
      </c>
      <c r="B6" t="s">
        <v>212</v>
      </c>
      <c r="C6" t="s">
        <v>204</v>
      </c>
      <c r="D6">
        <v>62.912999999999997</v>
      </c>
    </row>
    <row r="7" spans="1:4" x14ac:dyDescent="0.3">
      <c r="A7">
        <v>90653</v>
      </c>
      <c r="B7" t="s">
        <v>213</v>
      </c>
      <c r="C7" t="s">
        <v>214</v>
      </c>
      <c r="D7">
        <v>59.529000000000003</v>
      </c>
    </row>
    <row r="8" spans="1:4" x14ac:dyDescent="0.3">
      <c r="A8">
        <v>90662</v>
      </c>
      <c r="B8" t="s">
        <v>217</v>
      </c>
      <c r="C8" t="s">
        <v>216</v>
      </c>
      <c r="D8">
        <v>60.981999999999999</v>
      </c>
    </row>
    <row r="9" spans="1:4" x14ac:dyDescent="0.3">
      <c r="A9">
        <v>90670</v>
      </c>
      <c r="B9" t="s">
        <v>218</v>
      </c>
      <c r="C9" t="s">
        <v>216</v>
      </c>
      <c r="D9">
        <v>241.38300000000001</v>
      </c>
    </row>
    <row r="10" spans="1:4" x14ac:dyDescent="0.3">
      <c r="A10">
        <v>90672</v>
      </c>
      <c r="B10" t="s">
        <v>1547</v>
      </c>
      <c r="C10" t="s">
        <v>1548</v>
      </c>
      <c r="D10">
        <v>26.876000000000001</v>
      </c>
    </row>
    <row r="11" spans="1:4" x14ac:dyDescent="0.3">
      <c r="A11">
        <v>90674</v>
      </c>
      <c r="B11" t="s">
        <v>219</v>
      </c>
      <c r="C11" t="s">
        <v>216</v>
      </c>
      <c r="D11">
        <v>29.228000000000002</v>
      </c>
    </row>
    <row r="12" spans="1:4" x14ac:dyDescent="0.3">
      <c r="A12">
        <v>90675</v>
      </c>
      <c r="B12" t="s">
        <v>220</v>
      </c>
      <c r="C12" t="s">
        <v>204</v>
      </c>
      <c r="D12">
        <v>326.61399999999998</v>
      </c>
    </row>
    <row r="13" spans="1:4" x14ac:dyDescent="0.3">
      <c r="A13">
        <v>90682</v>
      </c>
      <c r="B13" t="s">
        <v>221</v>
      </c>
      <c r="C13" t="s">
        <v>216</v>
      </c>
      <c r="D13">
        <v>60.981999999999999</v>
      </c>
    </row>
    <row r="14" spans="1:4" x14ac:dyDescent="0.3">
      <c r="A14">
        <v>90685</v>
      </c>
      <c r="B14" t="s">
        <v>222</v>
      </c>
      <c r="C14" t="s">
        <v>223</v>
      </c>
      <c r="D14">
        <v>21.129000000000001</v>
      </c>
    </row>
    <row r="15" spans="1:4" x14ac:dyDescent="0.3">
      <c r="A15">
        <v>90686</v>
      </c>
      <c r="B15" t="s">
        <v>224</v>
      </c>
      <c r="C15" t="s">
        <v>214</v>
      </c>
      <c r="D15">
        <v>19.581</v>
      </c>
    </row>
    <row r="16" spans="1:4" x14ac:dyDescent="0.3">
      <c r="A16">
        <v>90687</v>
      </c>
      <c r="B16" t="s">
        <v>225</v>
      </c>
      <c r="C16" t="s">
        <v>226</v>
      </c>
      <c r="D16">
        <v>9.5839999999999996</v>
      </c>
    </row>
    <row r="17" spans="1:4" x14ac:dyDescent="0.3">
      <c r="A17">
        <v>90688</v>
      </c>
      <c r="B17" t="s">
        <v>227</v>
      </c>
      <c r="C17" t="s">
        <v>216</v>
      </c>
      <c r="D17">
        <v>19.167999999999999</v>
      </c>
    </row>
    <row r="18" spans="1:4" x14ac:dyDescent="0.3">
      <c r="A18">
        <v>90694</v>
      </c>
      <c r="B18" t="s">
        <v>1942</v>
      </c>
      <c r="C18" t="s">
        <v>216</v>
      </c>
      <c r="D18">
        <v>61</v>
      </c>
    </row>
    <row r="19" spans="1:4" x14ac:dyDescent="0.3">
      <c r="A19">
        <v>90714</v>
      </c>
      <c r="B19" t="s">
        <v>229</v>
      </c>
      <c r="C19" t="s">
        <v>216</v>
      </c>
      <c r="D19">
        <v>27.736999999999998</v>
      </c>
    </row>
    <row r="20" spans="1:4" x14ac:dyDescent="0.3">
      <c r="A20">
        <v>90715</v>
      </c>
      <c r="B20" t="s">
        <v>230</v>
      </c>
      <c r="C20" t="s">
        <v>216</v>
      </c>
      <c r="D20">
        <v>35.654000000000003</v>
      </c>
    </row>
    <row r="21" spans="1:4" x14ac:dyDescent="0.3">
      <c r="A21">
        <v>90732</v>
      </c>
      <c r="B21" t="s">
        <v>231</v>
      </c>
      <c r="C21" t="s">
        <v>216</v>
      </c>
      <c r="D21">
        <v>125.91800000000001</v>
      </c>
    </row>
    <row r="22" spans="1:4" x14ac:dyDescent="0.3">
      <c r="A22">
        <v>90739</v>
      </c>
      <c r="B22" t="s">
        <v>232</v>
      </c>
      <c r="C22" t="s">
        <v>233</v>
      </c>
      <c r="D22">
        <v>144.21</v>
      </c>
    </row>
    <row r="23" spans="1:4" x14ac:dyDescent="0.3">
      <c r="A23">
        <v>90740</v>
      </c>
      <c r="B23" t="s">
        <v>234</v>
      </c>
      <c r="C23" t="s">
        <v>235</v>
      </c>
      <c r="D23">
        <v>140.756</v>
      </c>
    </row>
    <row r="24" spans="1:4" x14ac:dyDescent="0.3">
      <c r="A24">
        <v>90744</v>
      </c>
      <c r="B24" t="s">
        <v>236</v>
      </c>
      <c r="C24" t="s">
        <v>237</v>
      </c>
      <c r="D24">
        <v>28.219000000000001</v>
      </c>
    </row>
    <row r="25" spans="1:4" x14ac:dyDescent="0.3">
      <c r="A25">
        <v>90746</v>
      </c>
      <c r="B25" t="s">
        <v>238</v>
      </c>
      <c r="C25" t="s">
        <v>239</v>
      </c>
      <c r="D25">
        <v>69.647999999999996</v>
      </c>
    </row>
    <row r="26" spans="1:4" x14ac:dyDescent="0.3">
      <c r="A26">
        <v>90747</v>
      </c>
      <c r="B26" t="s">
        <v>240</v>
      </c>
      <c r="C26" t="s">
        <v>235</v>
      </c>
      <c r="D26">
        <v>140.756</v>
      </c>
    </row>
    <row r="27" spans="1:4" x14ac:dyDescent="0.3">
      <c r="A27">
        <v>90756</v>
      </c>
      <c r="B27" t="s">
        <v>241</v>
      </c>
      <c r="C27" t="s">
        <v>216</v>
      </c>
      <c r="D27">
        <v>27.695</v>
      </c>
    </row>
    <row r="28" spans="1:4" x14ac:dyDescent="0.3">
      <c r="A28" t="s">
        <v>1549</v>
      </c>
      <c r="B28" t="s">
        <v>1550</v>
      </c>
      <c r="C28" t="s">
        <v>254</v>
      </c>
      <c r="D28">
        <v>0.16200000000000001</v>
      </c>
    </row>
    <row r="29" spans="1:4" x14ac:dyDescent="0.3">
      <c r="A29" t="s">
        <v>242</v>
      </c>
      <c r="B29" t="s">
        <v>243</v>
      </c>
      <c r="C29" t="s">
        <v>204</v>
      </c>
      <c r="D29">
        <v>1.4730000000000001</v>
      </c>
    </row>
    <row r="30" spans="1:4" x14ac:dyDescent="0.3">
      <c r="A30" t="s">
        <v>244</v>
      </c>
      <c r="B30" t="s">
        <v>245</v>
      </c>
      <c r="C30" t="s">
        <v>204</v>
      </c>
      <c r="D30">
        <v>1.8779999999999999</v>
      </c>
    </row>
    <row r="31" spans="1:4" x14ac:dyDescent="0.3">
      <c r="A31" t="s">
        <v>246</v>
      </c>
      <c r="B31" t="s">
        <v>247</v>
      </c>
      <c r="C31" t="s">
        <v>204</v>
      </c>
      <c r="D31">
        <v>1.899</v>
      </c>
    </row>
    <row r="32" spans="1:4" x14ac:dyDescent="0.3">
      <c r="A32" t="s">
        <v>248</v>
      </c>
      <c r="B32" t="s">
        <v>249</v>
      </c>
      <c r="C32" t="s">
        <v>204</v>
      </c>
      <c r="D32">
        <v>1.6020000000000001</v>
      </c>
    </row>
    <row r="33" spans="1:4" x14ac:dyDescent="0.3">
      <c r="A33" t="s">
        <v>250</v>
      </c>
      <c r="B33" t="s">
        <v>251</v>
      </c>
      <c r="C33" t="s">
        <v>204</v>
      </c>
      <c r="D33">
        <v>14.7</v>
      </c>
    </row>
    <row r="34" spans="1:4" x14ac:dyDescent="0.3">
      <c r="A34" t="s">
        <v>252</v>
      </c>
      <c r="B34" t="s">
        <v>253</v>
      </c>
      <c r="C34" t="s">
        <v>254</v>
      </c>
      <c r="D34">
        <v>0.35</v>
      </c>
    </row>
    <row r="35" spans="1:4" x14ac:dyDescent="0.3">
      <c r="A35" t="s">
        <v>255</v>
      </c>
      <c r="B35" t="s">
        <v>256</v>
      </c>
      <c r="C35" t="s">
        <v>257</v>
      </c>
      <c r="D35">
        <v>1205.0820000000001</v>
      </c>
    </row>
    <row r="36" spans="1:4" x14ac:dyDescent="0.3">
      <c r="A36" t="s">
        <v>258</v>
      </c>
      <c r="B36" t="s">
        <v>259</v>
      </c>
      <c r="C36" t="s">
        <v>260</v>
      </c>
      <c r="D36">
        <v>169.09</v>
      </c>
    </row>
    <row r="37" spans="1:4" x14ac:dyDescent="0.3">
      <c r="A37" t="s">
        <v>1552</v>
      </c>
      <c r="B37" t="s">
        <v>1553</v>
      </c>
      <c r="C37" t="s">
        <v>198</v>
      </c>
      <c r="D37">
        <v>3.2879999999999998</v>
      </c>
    </row>
    <row r="38" spans="1:4" x14ac:dyDescent="0.3">
      <c r="A38" t="s">
        <v>1554</v>
      </c>
      <c r="B38" t="s">
        <v>1555</v>
      </c>
      <c r="C38" t="s">
        <v>198</v>
      </c>
      <c r="D38">
        <v>1.018</v>
      </c>
    </row>
    <row r="39" spans="1:4" x14ac:dyDescent="0.3">
      <c r="A39" t="s">
        <v>261</v>
      </c>
      <c r="B39" t="s">
        <v>262</v>
      </c>
      <c r="C39" t="s">
        <v>199</v>
      </c>
      <c r="D39">
        <v>45.323</v>
      </c>
    </row>
    <row r="40" spans="1:4" x14ac:dyDescent="0.3">
      <c r="A40" t="s">
        <v>265</v>
      </c>
      <c r="B40" t="s">
        <v>266</v>
      </c>
      <c r="C40" t="s">
        <v>257</v>
      </c>
      <c r="D40">
        <v>0.81200000000000006</v>
      </c>
    </row>
    <row r="41" spans="1:4" x14ac:dyDescent="0.3">
      <c r="A41" t="s">
        <v>267</v>
      </c>
      <c r="B41" t="s">
        <v>268</v>
      </c>
      <c r="C41" t="s">
        <v>200</v>
      </c>
      <c r="D41">
        <v>0.04</v>
      </c>
    </row>
    <row r="42" spans="1:4" x14ac:dyDescent="0.3">
      <c r="A42" t="s">
        <v>269</v>
      </c>
      <c r="B42" t="s">
        <v>270</v>
      </c>
      <c r="C42" t="s">
        <v>198</v>
      </c>
      <c r="D42">
        <v>0.59699999999999998</v>
      </c>
    </row>
    <row r="43" spans="1:4" x14ac:dyDescent="0.3">
      <c r="A43" t="s">
        <v>271</v>
      </c>
      <c r="B43" t="s">
        <v>272</v>
      </c>
      <c r="C43" t="s">
        <v>273</v>
      </c>
      <c r="D43">
        <v>0.8</v>
      </c>
    </row>
    <row r="44" spans="1:4" x14ac:dyDescent="0.3">
      <c r="A44" t="s">
        <v>274</v>
      </c>
      <c r="B44" t="s">
        <v>275</v>
      </c>
      <c r="C44" t="s">
        <v>198</v>
      </c>
      <c r="D44">
        <v>916.40899999999999</v>
      </c>
    </row>
    <row r="45" spans="1:4" x14ac:dyDescent="0.3">
      <c r="A45" t="s">
        <v>1556</v>
      </c>
      <c r="B45" t="s">
        <v>1557</v>
      </c>
      <c r="C45" t="s">
        <v>198</v>
      </c>
      <c r="D45">
        <v>310.79199999999997</v>
      </c>
    </row>
    <row r="46" spans="1:4" x14ac:dyDescent="0.3">
      <c r="A46" t="s">
        <v>276</v>
      </c>
      <c r="B46" t="s">
        <v>277</v>
      </c>
      <c r="C46" t="s">
        <v>198</v>
      </c>
      <c r="D46">
        <v>196.21700000000001</v>
      </c>
    </row>
    <row r="47" spans="1:4" x14ac:dyDescent="0.3">
      <c r="A47" t="s">
        <v>278</v>
      </c>
      <c r="B47" t="s">
        <v>279</v>
      </c>
      <c r="C47" t="s">
        <v>198</v>
      </c>
      <c r="D47">
        <v>1.6120000000000001</v>
      </c>
    </row>
    <row r="48" spans="1:4" x14ac:dyDescent="0.3">
      <c r="A48" t="s">
        <v>280</v>
      </c>
      <c r="B48" t="s">
        <v>281</v>
      </c>
      <c r="C48" t="s">
        <v>198</v>
      </c>
      <c r="D48">
        <v>2052.4749999999999</v>
      </c>
    </row>
    <row r="49" spans="1:4" x14ac:dyDescent="0.3">
      <c r="A49" t="s">
        <v>285</v>
      </c>
      <c r="B49" t="s">
        <v>286</v>
      </c>
      <c r="C49" t="s">
        <v>199</v>
      </c>
      <c r="D49">
        <v>176.94800000000001</v>
      </c>
    </row>
    <row r="50" spans="1:4" x14ac:dyDescent="0.3">
      <c r="A50" t="s">
        <v>1558</v>
      </c>
      <c r="B50" t="s">
        <v>1559</v>
      </c>
      <c r="C50" t="s">
        <v>273</v>
      </c>
      <c r="D50">
        <v>97.584999999999994</v>
      </c>
    </row>
    <row r="51" spans="1:4" x14ac:dyDescent="0.3">
      <c r="A51" t="s">
        <v>1615</v>
      </c>
      <c r="B51" t="s">
        <v>1616</v>
      </c>
      <c r="C51" t="s">
        <v>396</v>
      </c>
      <c r="D51">
        <v>106.756</v>
      </c>
    </row>
    <row r="52" spans="1:4" x14ac:dyDescent="0.3">
      <c r="A52" t="s">
        <v>287</v>
      </c>
      <c r="B52" t="s">
        <v>288</v>
      </c>
      <c r="C52" t="s">
        <v>199</v>
      </c>
      <c r="D52">
        <v>4.5629999999999997</v>
      </c>
    </row>
    <row r="53" spans="1:4" x14ac:dyDescent="0.3">
      <c r="A53" t="s">
        <v>289</v>
      </c>
      <c r="B53" t="s">
        <v>290</v>
      </c>
      <c r="C53" t="s">
        <v>199</v>
      </c>
      <c r="D53">
        <v>4.9710000000000001</v>
      </c>
    </row>
    <row r="54" spans="1:4" x14ac:dyDescent="0.3">
      <c r="A54" t="s">
        <v>291</v>
      </c>
      <c r="B54" t="s">
        <v>292</v>
      </c>
      <c r="C54" t="s">
        <v>257</v>
      </c>
      <c r="D54">
        <v>1.2030000000000001</v>
      </c>
    </row>
    <row r="55" spans="1:4" x14ac:dyDescent="0.3">
      <c r="A55" t="s">
        <v>293</v>
      </c>
      <c r="B55" t="s">
        <v>294</v>
      </c>
      <c r="C55" t="s">
        <v>295</v>
      </c>
      <c r="D55">
        <v>6.11</v>
      </c>
    </row>
    <row r="56" spans="1:4" x14ac:dyDescent="0.3">
      <c r="A56" t="s">
        <v>296</v>
      </c>
      <c r="B56" t="s">
        <v>297</v>
      </c>
      <c r="C56" t="s">
        <v>209</v>
      </c>
      <c r="D56">
        <v>42.930999999999997</v>
      </c>
    </row>
    <row r="57" spans="1:4" x14ac:dyDescent="0.3">
      <c r="A57" t="s">
        <v>298</v>
      </c>
      <c r="B57" t="s">
        <v>299</v>
      </c>
      <c r="C57" t="s">
        <v>199</v>
      </c>
      <c r="D57">
        <v>9.4239999999999995</v>
      </c>
    </row>
    <row r="58" spans="1:4" x14ac:dyDescent="0.3">
      <c r="A58" t="s">
        <v>300</v>
      </c>
      <c r="B58" t="s">
        <v>301</v>
      </c>
      <c r="C58" t="s">
        <v>199</v>
      </c>
      <c r="D58">
        <v>28.334</v>
      </c>
    </row>
    <row r="59" spans="1:4" x14ac:dyDescent="0.3">
      <c r="A59" t="s">
        <v>302</v>
      </c>
      <c r="B59" t="s">
        <v>303</v>
      </c>
      <c r="C59" t="s">
        <v>284</v>
      </c>
      <c r="D59">
        <v>0.84299999999999997</v>
      </c>
    </row>
    <row r="60" spans="1:4" x14ac:dyDescent="0.3">
      <c r="A60" t="s">
        <v>1617</v>
      </c>
      <c r="B60" t="s">
        <v>1618</v>
      </c>
      <c r="C60" t="s">
        <v>200</v>
      </c>
      <c r="D60">
        <v>3.0449999999999999</v>
      </c>
    </row>
    <row r="61" spans="1:4" x14ac:dyDescent="0.3">
      <c r="A61" t="s">
        <v>304</v>
      </c>
      <c r="B61" t="s">
        <v>305</v>
      </c>
      <c r="C61" t="s">
        <v>306</v>
      </c>
      <c r="D61">
        <v>2.7879999999999998</v>
      </c>
    </row>
    <row r="62" spans="1:4" x14ac:dyDescent="0.3">
      <c r="A62" t="s">
        <v>307</v>
      </c>
      <c r="B62" t="s">
        <v>308</v>
      </c>
      <c r="C62" t="s">
        <v>198</v>
      </c>
      <c r="D62">
        <v>0.58099999999999996</v>
      </c>
    </row>
    <row r="63" spans="1:4" x14ac:dyDescent="0.3">
      <c r="A63" t="s">
        <v>309</v>
      </c>
      <c r="B63" t="s">
        <v>310</v>
      </c>
      <c r="C63" t="s">
        <v>311</v>
      </c>
      <c r="D63">
        <v>5.694</v>
      </c>
    </row>
    <row r="64" spans="1:4" x14ac:dyDescent="0.3">
      <c r="A64" t="s">
        <v>312</v>
      </c>
      <c r="B64" t="s">
        <v>313</v>
      </c>
      <c r="C64" t="s">
        <v>198</v>
      </c>
      <c r="D64">
        <v>5.9160000000000004</v>
      </c>
    </row>
    <row r="65" spans="1:4" x14ac:dyDescent="0.3">
      <c r="A65" t="s">
        <v>314</v>
      </c>
      <c r="B65" t="s">
        <v>315</v>
      </c>
      <c r="C65" t="s">
        <v>284</v>
      </c>
      <c r="D65">
        <v>3.8839999999999999</v>
      </c>
    </row>
    <row r="66" spans="1:4" x14ac:dyDescent="0.3">
      <c r="A66" t="s">
        <v>316</v>
      </c>
      <c r="B66" t="s">
        <v>317</v>
      </c>
      <c r="C66" t="s">
        <v>318</v>
      </c>
      <c r="D66">
        <v>9.5000000000000001E-2</v>
      </c>
    </row>
    <row r="67" spans="1:4" x14ac:dyDescent="0.3">
      <c r="A67" t="s">
        <v>321</v>
      </c>
      <c r="B67" t="s">
        <v>322</v>
      </c>
      <c r="C67" t="s">
        <v>199</v>
      </c>
      <c r="D67">
        <v>179.42</v>
      </c>
    </row>
    <row r="68" spans="1:4" x14ac:dyDescent="0.3">
      <c r="A68" t="s">
        <v>323</v>
      </c>
      <c r="B68" t="s">
        <v>324</v>
      </c>
      <c r="C68" t="s">
        <v>325</v>
      </c>
      <c r="D68">
        <v>58.454000000000001</v>
      </c>
    </row>
    <row r="69" spans="1:4" x14ac:dyDescent="0.3">
      <c r="A69" t="s">
        <v>326</v>
      </c>
      <c r="B69" t="s">
        <v>327</v>
      </c>
      <c r="C69" t="s">
        <v>311</v>
      </c>
      <c r="D69">
        <v>4029.2269999999999</v>
      </c>
    </row>
    <row r="70" spans="1:4" x14ac:dyDescent="0.3">
      <c r="A70" t="s">
        <v>328</v>
      </c>
      <c r="B70" t="s">
        <v>329</v>
      </c>
      <c r="C70" t="s">
        <v>198</v>
      </c>
      <c r="D70">
        <v>3.8039999999999998</v>
      </c>
    </row>
    <row r="71" spans="1:4" x14ac:dyDescent="0.3">
      <c r="A71" t="s">
        <v>330</v>
      </c>
      <c r="B71" t="s">
        <v>331</v>
      </c>
      <c r="C71" t="s">
        <v>199</v>
      </c>
      <c r="D71">
        <v>47.578000000000003</v>
      </c>
    </row>
    <row r="72" spans="1:4" x14ac:dyDescent="0.3">
      <c r="A72" t="s">
        <v>332</v>
      </c>
      <c r="B72" t="s">
        <v>333</v>
      </c>
      <c r="C72" t="s">
        <v>311</v>
      </c>
      <c r="D72">
        <v>29.12</v>
      </c>
    </row>
    <row r="73" spans="1:4" x14ac:dyDescent="0.3">
      <c r="A73" t="s">
        <v>334</v>
      </c>
      <c r="B73" t="s">
        <v>335</v>
      </c>
      <c r="C73" t="s">
        <v>198</v>
      </c>
      <c r="D73">
        <v>17.324999999999999</v>
      </c>
    </row>
    <row r="74" spans="1:4" x14ac:dyDescent="0.3">
      <c r="A74" t="s">
        <v>336</v>
      </c>
      <c r="B74" t="s">
        <v>337</v>
      </c>
      <c r="C74" t="s">
        <v>198</v>
      </c>
      <c r="D74">
        <v>172.61199999999999</v>
      </c>
    </row>
    <row r="75" spans="1:4" x14ac:dyDescent="0.3">
      <c r="A75" t="s">
        <v>338</v>
      </c>
      <c r="B75" t="s">
        <v>339</v>
      </c>
      <c r="C75" t="s">
        <v>340</v>
      </c>
      <c r="D75">
        <v>12.041</v>
      </c>
    </row>
    <row r="76" spans="1:4" x14ac:dyDescent="0.3">
      <c r="A76" t="s">
        <v>341</v>
      </c>
      <c r="B76" t="s">
        <v>342</v>
      </c>
      <c r="C76" t="s">
        <v>340</v>
      </c>
      <c r="D76">
        <v>15.194000000000001</v>
      </c>
    </row>
    <row r="77" spans="1:4" x14ac:dyDescent="0.3">
      <c r="A77" t="s">
        <v>343</v>
      </c>
      <c r="B77" t="s">
        <v>344</v>
      </c>
      <c r="C77" t="s">
        <v>199</v>
      </c>
      <c r="D77">
        <v>39.753</v>
      </c>
    </row>
    <row r="78" spans="1:4" x14ac:dyDescent="0.3">
      <c r="A78" t="s">
        <v>345</v>
      </c>
      <c r="B78" t="s">
        <v>346</v>
      </c>
      <c r="C78" t="s">
        <v>347</v>
      </c>
      <c r="D78">
        <v>1311.75</v>
      </c>
    </row>
    <row r="79" spans="1:4" x14ac:dyDescent="0.3">
      <c r="A79" t="s">
        <v>348</v>
      </c>
      <c r="B79" t="s">
        <v>349</v>
      </c>
      <c r="C79" t="s">
        <v>198</v>
      </c>
      <c r="D79">
        <v>0.33800000000000002</v>
      </c>
    </row>
    <row r="80" spans="1:4" x14ac:dyDescent="0.3">
      <c r="A80" t="s">
        <v>350</v>
      </c>
      <c r="B80" t="s">
        <v>351</v>
      </c>
      <c r="C80" t="s">
        <v>198</v>
      </c>
      <c r="D80">
        <v>369.03</v>
      </c>
    </row>
    <row r="81" spans="1:4" x14ac:dyDescent="0.3">
      <c r="A81" t="s">
        <v>352</v>
      </c>
      <c r="B81" t="s">
        <v>353</v>
      </c>
      <c r="C81" t="s">
        <v>354</v>
      </c>
      <c r="D81">
        <v>6.0759999999999996</v>
      </c>
    </row>
    <row r="82" spans="1:4" x14ac:dyDescent="0.3">
      <c r="A82" t="s">
        <v>355</v>
      </c>
      <c r="B82" t="s">
        <v>356</v>
      </c>
      <c r="C82" t="s">
        <v>357</v>
      </c>
      <c r="D82">
        <v>8.1959999999999997</v>
      </c>
    </row>
    <row r="83" spans="1:4" x14ac:dyDescent="0.3">
      <c r="A83" t="s">
        <v>358</v>
      </c>
      <c r="B83" t="s">
        <v>359</v>
      </c>
      <c r="C83" t="s">
        <v>360</v>
      </c>
      <c r="D83">
        <v>11.567</v>
      </c>
    </row>
    <row r="84" spans="1:4" x14ac:dyDescent="0.3">
      <c r="A84" t="s">
        <v>361</v>
      </c>
      <c r="B84" t="s">
        <v>362</v>
      </c>
      <c r="C84" t="s">
        <v>354</v>
      </c>
      <c r="D84">
        <v>5.0439999999999996</v>
      </c>
    </row>
    <row r="85" spans="1:4" x14ac:dyDescent="0.3">
      <c r="A85" t="s">
        <v>363</v>
      </c>
      <c r="B85" t="s">
        <v>364</v>
      </c>
      <c r="C85" t="s">
        <v>273</v>
      </c>
      <c r="D85">
        <v>4.2990000000000004</v>
      </c>
    </row>
    <row r="86" spans="1:4" x14ac:dyDescent="0.3">
      <c r="A86" t="s">
        <v>365</v>
      </c>
      <c r="B86" t="s">
        <v>366</v>
      </c>
      <c r="C86" t="s">
        <v>198</v>
      </c>
      <c r="D86">
        <v>1.9450000000000001</v>
      </c>
    </row>
    <row r="87" spans="1:4" x14ac:dyDescent="0.3">
      <c r="A87" t="s">
        <v>367</v>
      </c>
      <c r="B87" t="s">
        <v>368</v>
      </c>
      <c r="C87" t="s">
        <v>198</v>
      </c>
      <c r="D87">
        <v>3.024</v>
      </c>
    </row>
    <row r="88" spans="1:4" x14ac:dyDescent="0.3">
      <c r="A88" t="s">
        <v>369</v>
      </c>
      <c r="B88" t="s">
        <v>370</v>
      </c>
      <c r="C88" t="s">
        <v>371</v>
      </c>
      <c r="D88">
        <v>30.251000000000001</v>
      </c>
    </row>
    <row r="89" spans="1:4" x14ac:dyDescent="0.3">
      <c r="A89" t="s">
        <v>372</v>
      </c>
      <c r="B89" t="s">
        <v>373</v>
      </c>
      <c r="C89" t="s">
        <v>371</v>
      </c>
      <c r="D89">
        <v>57.494</v>
      </c>
    </row>
    <row r="90" spans="1:4" x14ac:dyDescent="0.3">
      <c r="A90" t="s">
        <v>374</v>
      </c>
      <c r="B90" t="s">
        <v>375</v>
      </c>
      <c r="C90" t="s">
        <v>371</v>
      </c>
      <c r="D90">
        <v>58.210999999999999</v>
      </c>
    </row>
    <row r="91" spans="1:4" x14ac:dyDescent="0.3">
      <c r="A91" t="s">
        <v>376</v>
      </c>
      <c r="B91" t="s">
        <v>377</v>
      </c>
      <c r="C91" t="s">
        <v>378</v>
      </c>
      <c r="D91">
        <v>5708.5940000000001</v>
      </c>
    </row>
    <row r="92" spans="1:4" x14ac:dyDescent="0.3">
      <c r="A92" t="s">
        <v>379</v>
      </c>
      <c r="B92" t="s">
        <v>380</v>
      </c>
      <c r="C92" t="s">
        <v>381</v>
      </c>
      <c r="D92">
        <v>4.343</v>
      </c>
    </row>
    <row r="93" spans="1:4" x14ac:dyDescent="0.3">
      <c r="A93" t="s">
        <v>382</v>
      </c>
      <c r="B93" t="s">
        <v>383</v>
      </c>
      <c r="C93" t="s">
        <v>384</v>
      </c>
      <c r="D93">
        <v>3036.6060000000002</v>
      </c>
    </row>
    <row r="94" spans="1:4" x14ac:dyDescent="0.3">
      <c r="A94" t="s">
        <v>385</v>
      </c>
      <c r="B94" t="s">
        <v>386</v>
      </c>
      <c r="C94" t="s">
        <v>387</v>
      </c>
      <c r="D94">
        <v>0.71599999999999997</v>
      </c>
    </row>
    <row r="95" spans="1:4" x14ac:dyDescent="0.3">
      <c r="A95" t="s">
        <v>388</v>
      </c>
      <c r="B95" t="s">
        <v>389</v>
      </c>
      <c r="C95" t="s">
        <v>200</v>
      </c>
      <c r="D95">
        <v>6.9889999999999999</v>
      </c>
    </row>
    <row r="96" spans="1:4" x14ac:dyDescent="0.3">
      <c r="A96" t="s">
        <v>390</v>
      </c>
      <c r="B96" t="s">
        <v>391</v>
      </c>
      <c r="C96" t="s">
        <v>198</v>
      </c>
      <c r="D96">
        <v>115.423</v>
      </c>
    </row>
    <row r="97" spans="1:4" x14ac:dyDescent="0.3">
      <c r="A97" t="s">
        <v>392</v>
      </c>
      <c r="B97" t="s">
        <v>393</v>
      </c>
      <c r="C97" t="s">
        <v>209</v>
      </c>
      <c r="D97">
        <v>3.629</v>
      </c>
    </row>
    <row r="98" spans="1:4" x14ac:dyDescent="0.3">
      <c r="A98" t="s">
        <v>394</v>
      </c>
      <c r="B98" t="s">
        <v>1560</v>
      </c>
      <c r="C98" t="s">
        <v>396</v>
      </c>
      <c r="D98">
        <v>0.08</v>
      </c>
    </row>
    <row r="99" spans="1:4" x14ac:dyDescent="0.3">
      <c r="A99" t="s">
        <v>1561</v>
      </c>
      <c r="B99" t="s">
        <v>1562</v>
      </c>
      <c r="C99" t="s">
        <v>396</v>
      </c>
      <c r="D99">
        <v>1.702</v>
      </c>
    </row>
    <row r="100" spans="1:4" x14ac:dyDescent="0.3">
      <c r="A100" t="s">
        <v>397</v>
      </c>
      <c r="B100" t="s">
        <v>398</v>
      </c>
      <c r="C100" t="s">
        <v>381</v>
      </c>
      <c r="D100">
        <v>2.7909999999999999</v>
      </c>
    </row>
    <row r="101" spans="1:4" x14ac:dyDescent="0.3">
      <c r="A101" t="s">
        <v>399</v>
      </c>
      <c r="B101" t="s">
        <v>400</v>
      </c>
      <c r="C101" t="s">
        <v>284</v>
      </c>
      <c r="D101">
        <v>0.79700000000000004</v>
      </c>
    </row>
    <row r="102" spans="1:4" x14ac:dyDescent="0.3">
      <c r="A102" t="s">
        <v>1619</v>
      </c>
      <c r="B102" t="s">
        <v>1620</v>
      </c>
      <c r="C102" t="s">
        <v>198</v>
      </c>
      <c r="D102">
        <v>0.72399999999999998</v>
      </c>
    </row>
    <row r="103" spans="1:4" x14ac:dyDescent="0.3">
      <c r="A103" t="s">
        <v>401</v>
      </c>
      <c r="B103" t="s">
        <v>402</v>
      </c>
      <c r="C103" t="s">
        <v>284</v>
      </c>
      <c r="D103">
        <v>1.889</v>
      </c>
    </row>
    <row r="104" spans="1:4" x14ac:dyDescent="0.3">
      <c r="A104" t="s">
        <v>403</v>
      </c>
      <c r="B104" t="s">
        <v>404</v>
      </c>
      <c r="C104" t="s">
        <v>405</v>
      </c>
      <c r="D104">
        <v>5.1829999999999998</v>
      </c>
    </row>
    <row r="105" spans="1:4" x14ac:dyDescent="0.3">
      <c r="A105" t="s">
        <v>406</v>
      </c>
      <c r="B105" t="s">
        <v>407</v>
      </c>
      <c r="C105" t="s">
        <v>408</v>
      </c>
      <c r="D105">
        <v>6.6369999999999996</v>
      </c>
    </row>
    <row r="106" spans="1:4" x14ac:dyDescent="0.3">
      <c r="A106" t="s">
        <v>409</v>
      </c>
      <c r="B106" t="s">
        <v>410</v>
      </c>
      <c r="C106" t="s">
        <v>295</v>
      </c>
      <c r="D106">
        <v>0.56000000000000005</v>
      </c>
    </row>
    <row r="107" spans="1:4" x14ac:dyDescent="0.3">
      <c r="A107" t="s">
        <v>411</v>
      </c>
      <c r="B107" t="s">
        <v>412</v>
      </c>
      <c r="C107" t="s">
        <v>413</v>
      </c>
      <c r="D107">
        <v>2.016</v>
      </c>
    </row>
    <row r="108" spans="1:4" x14ac:dyDescent="0.3">
      <c r="A108" t="s">
        <v>414</v>
      </c>
      <c r="B108" t="s">
        <v>415</v>
      </c>
      <c r="C108" t="s">
        <v>405</v>
      </c>
      <c r="D108">
        <v>2.7749999999999999</v>
      </c>
    </row>
    <row r="109" spans="1:4" x14ac:dyDescent="0.3">
      <c r="A109" t="s">
        <v>416</v>
      </c>
      <c r="B109" t="s">
        <v>417</v>
      </c>
      <c r="C109" t="s">
        <v>418</v>
      </c>
      <c r="D109">
        <v>6.6310000000000002</v>
      </c>
    </row>
    <row r="110" spans="1:4" x14ac:dyDescent="0.3">
      <c r="A110" t="s">
        <v>419</v>
      </c>
      <c r="B110" t="s">
        <v>420</v>
      </c>
      <c r="C110" t="s">
        <v>199</v>
      </c>
      <c r="D110">
        <v>3.5390000000000001</v>
      </c>
    </row>
    <row r="111" spans="1:4" x14ac:dyDescent="0.3">
      <c r="A111" t="s">
        <v>421</v>
      </c>
      <c r="B111" t="s">
        <v>422</v>
      </c>
      <c r="C111" t="s">
        <v>284</v>
      </c>
      <c r="D111">
        <v>1.899</v>
      </c>
    </row>
    <row r="112" spans="1:4" x14ac:dyDescent="0.3">
      <c r="A112" t="s">
        <v>423</v>
      </c>
      <c r="B112" t="s">
        <v>424</v>
      </c>
      <c r="C112" t="s">
        <v>425</v>
      </c>
      <c r="D112">
        <v>92.46</v>
      </c>
    </row>
    <row r="113" spans="1:4" x14ac:dyDescent="0.3">
      <c r="A113" t="s">
        <v>426</v>
      </c>
      <c r="B113" t="s">
        <v>427</v>
      </c>
      <c r="C113" t="s">
        <v>198</v>
      </c>
      <c r="D113">
        <v>6.5229999999999997</v>
      </c>
    </row>
    <row r="114" spans="1:4" x14ac:dyDescent="0.3">
      <c r="A114" t="s">
        <v>428</v>
      </c>
      <c r="B114" t="s">
        <v>429</v>
      </c>
      <c r="C114" t="s">
        <v>405</v>
      </c>
      <c r="D114">
        <v>36.052999999999997</v>
      </c>
    </row>
    <row r="115" spans="1:4" x14ac:dyDescent="0.3">
      <c r="A115" t="s">
        <v>430</v>
      </c>
      <c r="B115" t="s">
        <v>431</v>
      </c>
      <c r="C115" t="s">
        <v>432</v>
      </c>
      <c r="D115">
        <v>24.646000000000001</v>
      </c>
    </row>
    <row r="116" spans="1:4" x14ac:dyDescent="0.3">
      <c r="A116" t="s">
        <v>433</v>
      </c>
      <c r="B116" t="s">
        <v>434</v>
      </c>
      <c r="C116" t="s">
        <v>198</v>
      </c>
      <c r="D116">
        <v>29.486999999999998</v>
      </c>
    </row>
    <row r="117" spans="1:4" x14ac:dyDescent="0.3">
      <c r="A117" t="s">
        <v>435</v>
      </c>
      <c r="B117" t="s">
        <v>436</v>
      </c>
      <c r="C117" t="s">
        <v>437</v>
      </c>
      <c r="D117">
        <v>589.78399999999999</v>
      </c>
    </row>
    <row r="118" spans="1:4" x14ac:dyDescent="0.3">
      <c r="A118" t="s">
        <v>1943</v>
      </c>
      <c r="B118" t="s">
        <v>1944</v>
      </c>
      <c r="C118" t="s">
        <v>1945</v>
      </c>
      <c r="D118">
        <v>2.3029999999999999</v>
      </c>
    </row>
    <row r="119" spans="1:4" x14ac:dyDescent="0.3">
      <c r="A119" t="s">
        <v>438</v>
      </c>
      <c r="B119" t="s">
        <v>439</v>
      </c>
      <c r="C119" t="s">
        <v>295</v>
      </c>
      <c r="D119">
        <v>7.641</v>
      </c>
    </row>
    <row r="120" spans="1:4" x14ac:dyDescent="0.3">
      <c r="A120" t="s">
        <v>440</v>
      </c>
      <c r="B120" t="s">
        <v>441</v>
      </c>
      <c r="C120" t="s">
        <v>442</v>
      </c>
      <c r="D120">
        <v>0.96899999999999997</v>
      </c>
    </row>
    <row r="121" spans="1:4" x14ac:dyDescent="0.3">
      <c r="A121" t="s">
        <v>443</v>
      </c>
      <c r="B121" t="s">
        <v>444</v>
      </c>
      <c r="C121" t="s">
        <v>445</v>
      </c>
      <c r="D121">
        <v>16.137</v>
      </c>
    </row>
    <row r="122" spans="1:4" x14ac:dyDescent="0.3">
      <c r="A122" t="s">
        <v>446</v>
      </c>
      <c r="B122" t="s">
        <v>447</v>
      </c>
      <c r="C122" t="s">
        <v>318</v>
      </c>
      <c r="D122">
        <v>54.402000000000001</v>
      </c>
    </row>
    <row r="123" spans="1:4" x14ac:dyDescent="0.3">
      <c r="A123" t="s">
        <v>448</v>
      </c>
      <c r="B123" t="s">
        <v>449</v>
      </c>
      <c r="C123" t="s">
        <v>199</v>
      </c>
      <c r="D123">
        <v>5.1820000000000004</v>
      </c>
    </row>
    <row r="124" spans="1:4" x14ac:dyDescent="0.3">
      <c r="A124" t="s">
        <v>1621</v>
      </c>
      <c r="B124" t="s">
        <v>1622</v>
      </c>
      <c r="C124" t="s">
        <v>200</v>
      </c>
      <c r="D124">
        <v>123.279</v>
      </c>
    </row>
    <row r="125" spans="1:4" x14ac:dyDescent="0.3">
      <c r="A125" t="s">
        <v>450</v>
      </c>
      <c r="B125" t="s">
        <v>451</v>
      </c>
      <c r="C125" t="s">
        <v>452</v>
      </c>
      <c r="D125">
        <v>9.673</v>
      </c>
    </row>
    <row r="126" spans="1:4" x14ac:dyDescent="0.3">
      <c r="A126" t="s">
        <v>453</v>
      </c>
      <c r="B126" t="s">
        <v>454</v>
      </c>
      <c r="C126" t="s">
        <v>455</v>
      </c>
      <c r="D126">
        <v>3859.0050000000001</v>
      </c>
    </row>
    <row r="127" spans="1:4" x14ac:dyDescent="0.3">
      <c r="A127" t="s">
        <v>456</v>
      </c>
      <c r="B127" t="s">
        <v>457</v>
      </c>
      <c r="C127" t="s">
        <v>458</v>
      </c>
      <c r="D127">
        <v>26.298999999999999</v>
      </c>
    </row>
    <row r="128" spans="1:4" x14ac:dyDescent="0.3">
      <c r="A128" t="s">
        <v>459</v>
      </c>
      <c r="B128" t="s">
        <v>460</v>
      </c>
      <c r="C128" t="s">
        <v>461</v>
      </c>
      <c r="D128">
        <v>2866.1309999999999</v>
      </c>
    </row>
    <row r="129" spans="1:4" x14ac:dyDescent="0.3">
      <c r="A129" t="s">
        <v>1563</v>
      </c>
      <c r="B129" t="s">
        <v>1564</v>
      </c>
      <c r="C129" t="s">
        <v>781</v>
      </c>
      <c r="D129">
        <v>1265.4659999999999</v>
      </c>
    </row>
    <row r="130" spans="1:4" x14ac:dyDescent="0.3">
      <c r="A130" t="s">
        <v>462</v>
      </c>
      <c r="B130" t="s">
        <v>463</v>
      </c>
      <c r="C130" t="s">
        <v>464</v>
      </c>
      <c r="D130">
        <v>1520.652</v>
      </c>
    </row>
    <row r="131" spans="1:4" x14ac:dyDescent="0.3">
      <c r="A131" t="s">
        <v>465</v>
      </c>
      <c r="B131" t="s">
        <v>466</v>
      </c>
      <c r="C131" t="s">
        <v>200</v>
      </c>
      <c r="D131">
        <v>15.797000000000001</v>
      </c>
    </row>
    <row r="132" spans="1:4" x14ac:dyDescent="0.3">
      <c r="A132" t="s">
        <v>467</v>
      </c>
      <c r="B132" t="s">
        <v>468</v>
      </c>
      <c r="C132" t="s">
        <v>198</v>
      </c>
      <c r="D132">
        <v>0.08</v>
      </c>
    </row>
    <row r="133" spans="1:4" x14ac:dyDescent="0.3">
      <c r="A133" t="s">
        <v>469</v>
      </c>
      <c r="B133" t="s">
        <v>470</v>
      </c>
      <c r="C133" t="s">
        <v>452</v>
      </c>
      <c r="D133">
        <v>3.1949999999999998</v>
      </c>
    </row>
    <row r="134" spans="1:4" x14ac:dyDescent="0.3">
      <c r="A134" t="s">
        <v>471</v>
      </c>
      <c r="B134" t="s">
        <v>472</v>
      </c>
      <c r="C134" t="s">
        <v>452</v>
      </c>
      <c r="D134">
        <v>3.1949999999999998</v>
      </c>
    </row>
    <row r="135" spans="1:4" x14ac:dyDescent="0.3">
      <c r="A135" t="s">
        <v>473</v>
      </c>
      <c r="B135" t="s">
        <v>474</v>
      </c>
      <c r="C135" t="s">
        <v>432</v>
      </c>
      <c r="D135">
        <v>8.2230000000000008</v>
      </c>
    </row>
    <row r="136" spans="1:4" x14ac:dyDescent="0.3">
      <c r="A136" t="s">
        <v>475</v>
      </c>
      <c r="B136" t="s">
        <v>476</v>
      </c>
      <c r="C136" t="s">
        <v>452</v>
      </c>
      <c r="D136">
        <v>1.5309999999999999</v>
      </c>
    </row>
    <row r="137" spans="1:4" x14ac:dyDescent="0.3">
      <c r="A137" t="s">
        <v>477</v>
      </c>
      <c r="B137" t="s">
        <v>478</v>
      </c>
      <c r="C137" t="s">
        <v>452</v>
      </c>
      <c r="D137">
        <v>1.5309999999999999</v>
      </c>
    </row>
    <row r="138" spans="1:4" x14ac:dyDescent="0.3">
      <c r="A138" t="s">
        <v>479</v>
      </c>
      <c r="B138" t="s">
        <v>480</v>
      </c>
      <c r="C138" t="s">
        <v>198</v>
      </c>
      <c r="D138">
        <v>4.1660000000000004</v>
      </c>
    </row>
    <row r="139" spans="1:4" x14ac:dyDescent="0.3">
      <c r="A139" t="s">
        <v>481</v>
      </c>
      <c r="B139" t="s">
        <v>482</v>
      </c>
      <c r="C139" t="s">
        <v>284</v>
      </c>
      <c r="D139">
        <v>8.5969999999999995</v>
      </c>
    </row>
    <row r="140" spans="1:4" x14ac:dyDescent="0.3">
      <c r="A140" t="s">
        <v>1946</v>
      </c>
      <c r="B140" t="s">
        <v>1947</v>
      </c>
      <c r="C140" t="s">
        <v>458</v>
      </c>
      <c r="D140">
        <v>36.834000000000003</v>
      </c>
    </row>
    <row r="141" spans="1:4" x14ac:dyDescent="0.3">
      <c r="A141" t="s">
        <v>483</v>
      </c>
      <c r="B141" t="s">
        <v>484</v>
      </c>
      <c r="C141" t="s">
        <v>198</v>
      </c>
      <c r="D141">
        <v>20.972000000000001</v>
      </c>
    </row>
    <row r="142" spans="1:4" x14ac:dyDescent="0.3">
      <c r="A142" t="s">
        <v>485</v>
      </c>
      <c r="B142" t="s">
        <v>486</v>
      </c>
      <c r="C142" t="s">
        <v>200</v>
      </c>
      <c r="D142">
        <v>24.152999999999999</v>
      </c>
    </row>
    <row r="143" spans="1:4" x14ac:dyDescent="0.3">
      <c r="A143" t="s">
        <v>487</v>
      </c>
      <c r="B143" t="s">
        <v>488</v>
      </c>
      <c r="C143" t="s">
        <v>311</v>
      </c>
      <c r="D143">
        <v>3.03</v>
      </c>
    </row>
    <row r="144" spans="1:4" x14ac:dyDescent="0.3">
      <c r="A144" t="s">
        <v>489</v>
      </c>
      <c r="B144" t="s">
        <v>490</v>
      </c>
      <c r="C144" t="s">
        <v>491</v>
      </c>
      <c r="D144">
        <v>5.5510000000000002</v>
      </c>
    </row>
    <row r="145" spans="1:4" x14ac:dyDescent="0.3">
      <c r="A145" t="s">
        <v>492</v>
      </c>
      <c r="B145" t="s">
        <v>493</v>
      </c>
      <c r="C145" t="s">
        <v>494</v>
      </c>
      <c r="D145">
        <v>10.409000000000001</v>
      </c>
    </row>
    <row r="146" spans="1:4" x14ac:dyDescent="0.3">
      <c r="A146" t="s">
        <v>495</v>
      </c>
      <c r="B146" t="s">
        <v>496</v>
      </c>
      <c r="C146" t="s">
        <v>198</v>
      </c>
      <c r="D146">
        <v>0.57399999999999995</v>
      </c>
    </row>
    <row r="147" spans="1:4" x14ac:dyDescent="0.3">
      <c r="A147" t="s">
        <v>497</v>
      </c>
      <c r="B147" t="s">
        <v>498</v>
      </c>
      <c r="C147" t="s">
        <v>198</v>
      </c>
      <c r="D147">
        <v>2.8000000000000001E-2</v>
      </c>
    </row>
    <row r="148" spans="1:4" x14ac:dyDescent="0.3">
      <c r="A148" t="s">
        <v>499</v>
      </c>
      <c r="B148" t="s">
        <v>500</v>
      </c>
      <c r="C148" t="s">
        <v>198</v>
      </c>
      <c r="D148">
        <v>0.17</v>
      </c>
    </row>
    <row r="149" spans="1:4" x14ac:dyDescent="0.3">
      <c r="A149" t="s">
        <v>501</v>
      </c>
      <c r="B149" t="s">
        <v>502</v>
      </c>
      <c r="C149" t="s">
        <v>198</v>
      </c>
      <c r="D149">
        <v>43.472999999999999</v>
      </c>
    </row>
    <row r="150" spans="1:4" x14ac:dyDescent="0.3">
      <c r="A150" t="s">
        <v>503</v>
      </c>
      <c r="B150" t="s">
        <v>504</v>
      </c>
      <c r="C150" t="s">
        <v>284</v>
      </c>
      <c r="D150">
        <v>31.21</v>
      </c>
    </row>
    <row r="151" spans="1:4" x14ac:dyDescent="0.3">
      <c r="A151" t="s">
        <v>505</v>
      </c>
      <c r="B151" t="s">
        <v>506</v>
      </c>
      <c r="C151" t="s">
        <v>396</v>
      </c>
      <c r="D151">
        <v>5.6470000000000002</v>
      </c>
    </row>
    <row r="152" spans="1:4" x14ac:dyDescent="0.3">
      <c r="A152" t="s">
        <v>507</v>
      </c>
      <c r="B152" t="s">
        <v>508</v>
      </c>
      <c r="C152" t="s">
        <v>464</v>
      </c>
      <c r="D152">
        <v>4128.1909999999998</v>
      </c>
    </row>
    <row r="153" spans="1:4" x14ac:dyDescent="0.3">
      <c r="A153" t="s">
        <v>509</v>
      </c>
      <c r="B153" t="s">
        <v>510</v>
      </c>
      <c r="C153" t="s">
        <v>209</v>
      </c>
      <c r="D153">
        <v>0.46400000000000002</v>
      </c>
    </row>
    <row r="154" spans="1:4" x14ac:dyDescent="0.3">
      <c r="A154" t="s">
        <v>511</v>
      </c>
      <c r="B154" t="s">
        <v>512</v>
      </c>
      <c r="C154" t="s">
        <v>513</v>
      </c>
      <c r="D154">
        <v>2.6779999999999999</v>
      </c>
    </row>
    <row r="155" spans="1:4" x14ac:dyDescent="0.3">
      <c r="A155" t="s">
        <v>514</v>
      </c>
      <c r="B155" t="s">
        <v>515</v>
      </c>
      <c r="C155" t="s">
        <v>295</v>
      </c>
      <c r="D155">
        <v>194.97900000000001</v>
      </c>
    </row>
    <row r="156" spans="1:4" x14ac:dyDescent="0.3">
      <c r="A156" t="s">
        <v>516</v>
      </c>
      <c r="B156" t="s">
        <v>517</v>
      </c>
      <c r="C156" t="s">
        <v>209</v>
      </c>
      <c r="D156">
        <v>0.95</v>
      </c>
    </row>
    <row r="157" spans="1:4" x14ac:dyDescent="0.3">
      <c r="A157" t="s">
        <v>518</v>
      </c>
      <c r="B157" t="s">
        <v>519</v>
      </c>
      <c r="C157" t="s">
        <v>284</v>
      </c>
      <c r="D157">
        <v>67.337000000000003</v>
      </c>
    </row>
    <row r="158" spans="1:4" x14ac:dyDescent="0.3">
      <c r="A158" t="s">
        <v>520</v>
      </c>
      <c r="B158" t="s">
        <v>521</v>
      </c>
      <c r="C158" t="s">
        <v>522</v>
      </c>
      <c r="D158">
        <v>637.13300000000004</v>
      </c>
    </row>
    <row r="159" spans="1:4" x14ac:dyDescent="0.3">
      <c r="A159" t="s">
        <v>523</v>
      </c>
      <c r="B159" t="s">
        <v>524</v>
      </c>
      <c r="C159" t="s">
        <v>199</v>
      </c>
      <c r="D159">
        <v>17.597999999999999</v>
      </c>
    </row>
    <row r="160" spans="1:4" x14ac:dyDescent="0.3">
      <c r="A160" t="s">
        <v>525</v>
      </c>
      <c r="B160" t="s">
        <v>526</v>
      </c>
      <c r="C160" t="s">
        <v>209</v>
      </c>
      <c r="D160">
        <v>7.49</v>
      </c>
    </row>
    <row r="161" spans="1:4" x14ac:dyDescent="0.3">
      <c r="A161" t="s">
        <v>527</v>
      </c>
      <c r="B161" t="s">
        <v>528</v>
      </c>
      <c r="C161" t="s">
        <v>199</v>
      </c>
      <c r="D161">
        <v>3.4420000000000002</v>
      </c>
    </row>
    <row r="162" spans="1:4" x14ac:dyDescent="0.3">
      <c r="A162" t="s">
        <v>529</v>
      </c>
      <c r="B162" t="s">
        <v>530</v>
      </c>
      <c r="C162" t="s">
        <v>295</v>
      </c>
      <c r="D162">
        <v>6.9640000000000004</v>
      </c>
    </row>
    <row r="163" spans="1:4" x14ac:dyDescent="0.3">
      <c r="A163" t="s">
        <v>531</v>
      </c>
      <c r="B163" t="s">
        <v>532</v>
      </c>
      <c r="C163" t="s">
        <v>491</v>
      </c>
      <c r="D163">
        <v>0.71499999999999997</v>
      </c>
    </row>
    <row r="164" spans="1:4" x14ac:dyDescent="0.3">
      <c r="A164" t="s">
        <v>533</v>
      </c>
      <c r="B164" t="s">
        <v>534</v>
      </c>
      <c r="C164" t="s">
        <v>452</v>
      </c>
      <c r="D164">
        <v>0.46100000000000002</v>
      </c>
    </row>
    <row r="165" spans="1:4" x14ac:dyDescent="0.3">
      <c r="A165" t="s">
        <v>535</v>
      </c>
      <c r="B165" t="s">
        <v>536</v>
      </c>
      <c r="C165" t="s">
        <v>198</v>
      </c>
      <c r="D165">
        <v>499.50700000000001</v>
      </c>
    </row>
    <row r="166" spans="1:4" x14ac:dyDescent="0.3">
      <c r="A166" t="s">
        <v>537</v>
      </c>
      <c r="B166" t="s">
        <v>538</v>
      </c>
      <c r="C166" t="s">
        <v>199</v>
      </c>
      <c r="D166">
        <v>229.77099999999999</v>
      </c>
    </row>
    <row r="167" spans="1:4" x14ac:dyDescent="0.3">
      <c r="A167" t="s">
        <v>539</v>
      </c>
      <c r="B167" t="s">
        <v>540</v>
      </c>
      <c r="C167" t="s">
        <v>198</v>
      </c>
      <c r="D167">
        <v>20.167000000000002</v>
      </c>
    </row>
    <row r="168" spans="1:4" x14ac:dyDescent="0.3">
      <c r="A168" t="s">
        <v>1565</v>
      </c>
      <c r="B168" t="s">
        <v>1566</v>
      </c>
      <c r="C168" t="s">
        <v>199</v>
      </c>
      <c r="D168">
        <v>225.55699999999999</v>
      </c>
    </row>
    <row r="169" spans="1:4" x14ac:dyDescent="0.3">
      <c r="A169" t="s">
        <v>541</v>
      </c>
      <c r="B169" t="s">
        <v>542</v>
      </c>
      <c r="C169" t="s">
        <v>198</v>
      </c>
      <c r="D169">
        <v>250.12</v>
      </c>
    </row>
    <row r="170" spans="1:4" x14ac:dyDescent="0.3">
      <c r="A170" t="s">
        <v>543</v>
      </c>
      <c r="B170" t="s">
        <v>544</v>
      </c>
      <c r="C170" t="s">
        <v>396</v>
      </c>
      <c r="D170">
        <v>16.221</v>
      </c>
    </row>
    <row r="171" spans="1:4" x14ac:dyDescent="0.3">
      <c r="A171" t="s">
        <v>545</v>
      </c>
      <c r="B171" t="s">
        <v>546</v>
      </c>
      <c r="C171" t="s">
        <v>284</v>
      </c>
      <c r="D171">
        <v>28.126000000000001</v>
      </c>
    </row>
    <row r="172" spans="1:4" x14ac:dyDescent="0.3">
      <c r="A172" t="s">
        <v>547</v>
      </c>
      <c r="B172" t="s">
        <v>548</v>
      </c>
      <c r="C172" t="s">
        <v>284</v>
      </c>
      <c r="D172">
        <v>78.744</v>
      </c>
    </row>
    <row r="173" spans="1:4" x14ac:dyDescent="0.3">
      <c r="A173" t="s">
        <v>549</v>
      </c>
      <c r="B173" t="s">
        <v>550</v>
      </c>
      <c r="C173" t="s">
        <v>199</v>
      </c>
      <c r="D173">
        <v>10.952999999999999</v>
      </c>
    </row>
    <row r="174" spans="1:4" x14ac:dyDescent="0.3">
      <c r="A174" t="s">
        <v>551</v>
      </c>
      <c r="B174" t="s">
        <v>552</v>
      </c>
      <c r="C174" t="s">
        <v>553</v>
      </c>
      <c r="D174">
        <v>341.76499999999999</v>
      </c>
    </row>
    <row r="175" spans="1:4" x14ac:dyDescent="0.3">
      <c r="A175" t="s">
        <v>554</v>
      </c>
      <c r="B175" t="s">
        <v>555</v>
      </c>
      <c r="C175" t="s">
        <v>257</v>
      </c>
      <c r="D175">
        <v>444.09899999999999</v>
      </c>
    </row>
    <row r="176" spans="1:4" x14ac:dyDescent="0.3">
      <c r="A176" t="s">
        <v>1977</v>
      </c>
      <c r="B176" t="s">
        <v>1978</v>
      </c>
      <c r="C176" t="s">
        <v>199</v>
      </c>
      <c r="D176">
        <v>25.815000000000001</v>
      </c>
    </row>
    <row r="177" spans="1:4" x14ac:dyDescent="0.3">
      <c r="A177" t="s">
        <v>556</v>
      </c>
      <c r="B177" t="s">
        <v>557</v>
      </c>
      <c r="C177" t="s">
        <v>198</v>
      </c>
      <c r="D177">
        <v>1.133</v>
      </c>
    </row>
    <row r="178" spans="1:4" x14ac:dyDescent="0.3">
      <c r="A178" t="s">
        <v>558</v>
      </c>
      <c r="B178" t="s">
        <v>559</v>
      </c>
      <c r="C178" t="s">
        <v>452</v>
      </c>
      <c r="D178">
        <v>0.96399999999999997</v>
      </c>
    </row>
    <row r="179" spans="1:4" x14ac:dyDescent="0.3">
      <c r="A179" t="s">
        <v>560</v>
      </c>
      <c r="B179" t="s">
        <v>561</v>
      </c>
      <c r="C179" t="s">
        <v>452</v>
      </c>
      <c r="D179">
        <v>0.46899999999999997</v>
      </c>
    </row>
    <row r="180" spans="1:4" x14ac:dyDescent="0.3">
      <c r="A180" t="s">
        <v>562</v>
      </c>
      <c r="B180" t="s">
        <v>563</v>
      </c>
      <c r="C180" t="s">
        <v>442</v>
      </c>
      <c r="D180">
        <v>3.9609999999999999</v>
      </c>
    </row>
    <row r="181" spans="1:4" x14ac:dyDescent="0.3">
      <c r="A181" t="s">
        <v>564</v>
      </c>
      <c r="B181" t="s">
        <v>565</v>
      </c>
      <c r="C181" t="s">
        <v>198</v>
      </c>
      <c r="D181">
        <v>0.33200000000000002</v>
      </c>
    </row>
    <row r="182" spans="1:4" x14ac:dyDescent="0.3">
      <c r="A182" t="s">
        <v>566</v>
      </c>
      <c r="B182" t="s">
        <v>567</v>
      </c>
      <c r="C182" t="s">
        <v>458</v>
      </c>
      <c r="D182">
        <v>594.20000000000005</v>
      </c>
    </row>
    <row r="183" spans="1:4" x14ac:dyDescent="0.3">
      <c r="A183" t="s">
        <v>568</v>
      </c>
      <c r="B183" t="s">
        <v>569</v>
      </c>
      <c r="C183" t="s">
        <v>198</v>
      </c>
      <c r="D183">
        <v>411.53899999999999</v>
      </c>
    </row>
    <row r="184" spans="1:4" x14ac:dyDescent="0.3">
      <c r="A184" t="s">
        <v>570</v>
      </c>
      <c r="B184" t="s">
        <v>571</v>
      </c>
      <c r="C184" t="s">
        <v>284</v>
      </c>
      <c r="D184">
        <v>43.179000000000002</v>
      </c>
    </row>
    <row r="185" spans="1:4" x14ac:dyDescent="0.3">
      <c r="A185" t="s">
        <v>572</v>
      </c>
      <c r="B185" t="s">
        <v>573</v>
      </c>
      <c r="C185" t="s">
        <v>574</v>
      </c>
      <c r="D185">
        <v>43.378999999999998</v>
      </c>
    </row>
    <row r="186" spans="1:4" x14ac:dyDescent="0.3">
      <c r="A186" t="s">
        <v>1979</v>
      </c>
      <c r="B186" t="s">
        <v>1980</v>
      </c>
      <c r="C186" t="s">
        <v>284</v>
      </c>
      <c r="D186">
        <v>481.77</v>
      </c>
    </row>
    <row r="187" spans="1:4" x14ac:dyDescent="0.3">
      <c r="A187" t="s">
        <v>575</v>
      </c>
      <c r="B187" t="s">
        <v>576</v>
      </c>
      <c r="C187" t="s">
        <v>257</v>
      </c>
      <c r="D187">
        <v>14.209</v>
      </c>
    </row>
    <row r="188" spans="1:4" x14ac:dyDescent="0.3">
      <c r="A188" t="s">
        <v>577</v>
      </c>
      <c r="B188" t="s">
        <v>578</v>
      </c>
      <c r="C188" t="s">
        <v>284</v>
      </c>
      <c r="D188">
        <v>70.489999999999995</v>
      </c>
    </row>
    <row r="189" spans="1:4" x14ac:dyDescent="0.3">
      <c r="A189" t="s">
        <v>579</v>
      </c>
      <c r="B189" t="s">
        <v>580</v>
      </c>
      <c r="C189" t="s">
        <v>284</v>
      </c>
      <c r="D189">
        <v>49.811</v>
      </c>
    </row>
    <row r="190" spans="1:4" x14ac:dyDescent="0.3">
      <c r="A190" t="s">
        <v>1623</v>
      </c>
      <c r="B190" t="s">
        <v>1624</v>
      </c>
      <c r="C190" t="s">
        <v>257</v>
      </c>
      <c r="D190">
        <v>13.388999999999999</v>
      </c>
    </row>
    <row r="191" spans="1:4" x14ac:dyDescent="0.3">
      <c r="A191" t="s">
        <v>581</v>
      </c>
      <c r="B191" t="s">
        <v>582</v>
      </c>
      <c r="C191" t="s">
        <v>257</v>
      </c>
      <c r="D191">
        <v>11.233000000000001</v>
      </c>
    </row>
    <row r="192" spans="1:4" x14ac:dyDescent="0.3">
      <c r="A192" t="s">
        <v>583</v>
      </c>
      <c r="B192" t="s">
        <v>584</v>
      </c>
      <c r="C192" t="s">
        <v>585</v>
      </c>
      <c r="D192">
        <v>433.79300000000001</v>
      </c>
    </row>
    <row r="193" spans="1:4" x14ac:dyDescent="0.3">
      <c r="A193" t="s">
        <v>586</v>
      </c>
      <c r="B193" t="s">
        <v>587</v>
      </c>
      <c r="C193" t="s">
        <v>284</v>
      </c>
      <c r="D193">
        <v>47.773000000000003</v>
      </c>
    </row>
    <row r="194" spans="1:4" x14ac:dyDescent="0.3">
      <c r="A194" t="s">
        <v>588</v>
      </c>
      <c r="B194" t="s">
        <v>589</v>
      </c>
      <c r="C194" t="s">
        <v>284</v>
      </c>
      <c r="D194">
        <v>65.885999999999996</v>
      </c>
    </row>
    <row r="195" spans="1:4" x14ac:dyDescent="0.3">
      <c r="A195" t="s">
        <v>590</v>
      </c>
      <c r="B195" t="s">
        <v>591</v>
      </c>
      <c r="C195" t="s">
        <v>284</v>
      </c>
      <c r="D195">
        <v>41.603999999999999</v>
      </c>
    </row>
    <row r="196" spans="1:4" x14ac:dyDescent="0.3">
      <c r="A196" t="s">
        <v>592</v>
      </c>
      <c r="B196" t="s">
        <v>593</v>
      </c>
      <c r="C196" t="s">
        <v>284</v>
      </c>
      <c r="D196">
        <v>47.71</v>
      </c>
    </row>
    <row r="197" spans="1:4" x14ac:dyDescent="0.3">
      <c r="A197" t="s">
        <v>594</v>
      </c>
      <c r="B197" t="s">
        <v>595</v>
      </c>
      <c r="C197" t="s">
        <v>284</v>
      </c>
      <c r="D197">
        <v>49.037999999999997</v>
      </c>
    </row>
    <row r="198" spans="1:4" x14ac:dyDescent="0.3">
      <c r="A198" t="s">
        <v>596</v>
      </c>
      <c r="B198" t="s">
        <v>597</v>
      </c>
      <c r="C198" t="s">
        <v>216</v>
      </c>
      <c r="D198">
        <v>70.052000000000007</v>
      </c>
    </row>
    <row r="199" spans="1:4" x14ac:dyDescent="0.3">
      <c r="A199" t="s">
        <v>598</v>
      </c>
      <c r="B199" t="s">
        <v>599</v>
      </c>
      <c r="C199" t="s">
        <v>284</v>
      </c>
      <c r="D199">
        <v>34.713000000000001</v>
      </c>
    </row>
    <row r="200" spans="1:4" x14ac:dyDescent="0.3">
      <c r="A200" t="s">
        <v>600</v>
      </c>
      <c r="B200" t="s">
        <v>601</v>
      </c>
      <c r="C200" t="s">
        <v>257</v>
      </c>
      <c r="D200">
        <v>14.834</v>
      </c>
    </row>
    <row r="201" spans="1:4" x14ac:dyDescent="0.3">
      <c r="A201" t="s">
        <v>602</v>
      </c>
      <c r="B201" t="s">
        <v>603</v>
      </c>
      <c r="C201" t="s">
        <v>494</v>
      </c>
      <c r="D201">
        <v>1.8859999999999999</v>
      </c>
    </row>
    <row r="202" spans="1:4" x14ac:dyDescent="0.3">
      <c r="A202" t="s">
        <v>604</v>
      </c>
      <c r="B202" t="s">
        <v>605</v>
      </c>
      <c r="C202" t="s">
        <v>198</v>
      </c>
      <c r="D202">
        <v>16.956</v>
      </c>
    </row>
    <row r="203" spans="1:4" x14ac:dyDescent="0.3">
      <c r="A203" t="s">
        <v>606</v>
      </c>
      <c r="B203" t="s">
        <v>607</v>
      </c>
      <c r="C203" t="s">
        <v>198</v>
      </c>
      <c r="D203">
        <v>177.45400000000001</v>
      </c>
    </row>
    <row r="204" spans="1:4" x14ac:dyDescent="0.3">
      <c r="A204" t="s">
        <v>608</v>
      </c>
      <c r="B204" t="s">
        <v>609</v>
      </c>
      <c r="C204" t="s">
        <v>610</v>
      </c>
      <c r="D204">
        <v>0.26600000000000001</v>
      </c>
    </row>
    <row r="205" spans="1:4" x14ac:dyDescent="0.3">
      <c r="A205" t="s">
        <v>611</v>
      </c>
      <c r="B205" t="s">
        <v>612</v>
      </c>
      <c r="C205" t="s">
        <v>273</v>
      </c>
      <c r="D205">
        <v>7.0519999999999996</v>
      </c>
    </row>
    <row r="206" spans="1:4" x14ac:dyDescent="0.3">
      <c r="A206" t="s">
        <v>613</v>
      </c>
      <c r="B206" t="s">
        <v>614</v>
      </c>
      <c r="C206" t="s">
        <v>200</v>
      </c>
      <c r="D206">
        <v>1.8089999999999999</v>
      </c>
    </row>
    <row r="207" spans="1:4" x14ac:dyDescent="0.3">
      <c r="A207" t="s">
        <v>615</v>
      </c>
      <c r="B207" t="s">
        <v>616</v>
      </c>
      <c r="C207" t="s">
        <v>209</v>
      </c>
      <c r="D207">
        <v>11.542999999999999</v>
      </c>
    </row>
    <row r="208" spans="1:4" x14ac:dyDescent="0.3">
      <c r="A208" t="s">
        <v>617</v>
      </c>
      <c r="B208" t="s">
        <v>618</v>
      </c>
      <c r="C208" t="s">
        <v>198</v>
      </c>
      <c r="D208">
        <v>26.443000000000001</v>
      </c>
    </row>
    <row r="209" spans="1:4" x14ac:dyDescent="0.3">
      <c r="A209" t="s">
        <v>619</v>
      </c>
      <c r="B209" t="s">
        <v>620</v>
      </c>
      <c r="C209" t="s">
        <v>371</v>
      </c>
      <c r="D209">
        <v>1.4999999999999999E-2</v>
      </c>
    </row>
    <row r="210" spans="1:4" x14ac:dyDescent="0.3">
      <c r="A210" t="s">
        <v>621</v>
      </c>
      <c r="B210" t="s">
        <v>622</v>
      </c>
      <c r="C210" t="s">
        <v>432</v>
      </c>
      <c r="D210">
        <v>0.30399999999999999</v>
      </c>
    </row>
    <row r="211" spans="1:4" x14ac:dyDescent="0.3">
      <c r="A211" t="s">
        <v>623</v>
      </c>
      <c r="B211" t="s">
        <v>624</v>
      </c>
      <c r="C211" t="s">
        <v>625</v>
      </c>
      <c r="D211">
        <v>8.6310000000000002</v>
      </c>
    </row>
    <row r="212" spans="1:4" x14ac:dyDescent="0.3">
      <c r="A212" t="s">
        <v>626</v>
      </c>
      <c r="B212" t="s">
        <v>627</v>
      </c>
      <c r="C212" t="s">
        <v>199</v>
      </c>
      <c r="D212">
        <v>0.76200000000000001</v>
      </c>
    </row>
    <row r="213" spans="1:4" x14ac:dyDescent="0.3">
      <c r="A213" t="s">
        <v>628</v>
      </c>
      <c r="B213" t="s">
        <v>629</v>
      </c>
      <c r="C213" t="s">
        <v>396</v>
      </c>
      <c r="D213">
        <v>1.641</v>
      </c>
    </row>
    <row r="214" spans="1:4" x14ac:dyDescent="0.3">
      <c r="A214" t="s">
        <v>630</v>
      </c>
      <c r="B214" t="s">
        <v>631</v>
      </c>
      <c r="C214" t="s">
        <v>632</v>
      </c>
      <c r="D214">
        <v>483.911</v>
      </c>
    </row>
    <row r="215" spans="1:4" x14ac:dyDescent="0.3">
      <c r="A215" t="s">
        <v>633</v>
      </c>
      <c r="B215" t="s">
        <v>634</v>
      </c>
      <c r="C215" t="s">
        <v>257</v>
      </c>
      <c r="D215">
        <v>14.773999999999999</v>
      </c>
    </row>
    <row r="216" spans="1:4" x14ac:dyDescent="0.3">
      <c r="A216" t="s">
        <v>635</v>
      </c>
      <c r="B216" t="s">
        <v>636</v>
      </c>
      <c r="C216" t="s">
        <v>198</v>
      </c>
      <c r="D216">
        <v>37.058</v>
      </c>
    </row>
    <row r="217" spans="1:4" x14ac:dyDescent="0.3">
      <c r="A217" t="s">
        <v>637</v>
      </c>
      <c r="B217" t="s">
        <v>638</v>
      </c>
      <c r="C217" t="s">
        <v>198</v>
      </c>
      <c r="D217">
        <v>226.101</v>
      </c>
    </row>
    <row r="218" spans="1:4" x14ac:dyDescent="0.3">
      <c r="A218" t="s">
        <v>639</v>
      </c>
      <c r="B218" t="s">
        <v>640</v>
      </c>
      <c r="C218" t="s">
        <v>198</v>
      </c>
      <c r="D218">
        <v>542.91700000000003</v>
      </c>
    </row>
    <row r="219" spans="1:4" x14ac:dyDescent="0.3">
      <c r="A219" t="s">
        <v>641</v>
      </c>
      <c r="B219" t="s">
        <v>642</v>
      </c>
      <c r="C219" t="s">
        <v>199</v>
      </c>
      <c r="D219">
        <v>41.319000000000003</v>
      </c>
    </row>
    <row r="220" spans="1:4" x14ac:dyDescent="0.3">
      <c r="A220" t="s">
        <v>1567</v>
      </c>
      <c r="B220" t="s">
        <v>1568</v>
      </c>
      <c r="C220" t="s">
        <v>199</v>
      </c>
      <c r="D220">
        <v>64.373999999999995</v>
      </c>
    </row>
    <row r="221" spans="1:4" x14ac:dyDescent="0.3">
      <c r="A221" t="s">
        <v>643</v>
      </c>
      <c r="B221" t="s">
        <v>644</v>
      </c>
      <c r="C221" t="s">
        <v>209</v>
      </c>
      <c r="D221">
        <v>15.789</v>
      </c>
    </row>
    <row r="222" spans="1:4" x14ac:dyDescent="0.3">
      <c r="A222" t="s">
        <v>645</v>
      </c>
      <c r="B222" t="s">
        <v>646</v>
      </c>
      <c r="C222" t="s">
        <v>198</v>
      </c>
      <c r="D222">
        <v>0.224</v>
      </c>
    </row>
    <row r="223" spans="1:4" x14ac:dyDescent="0.3">
      <c r="A223" t="s">
        <v>647</v>
      </c>
      <c r="B223" t="s">
        <v>648</v>
      </c>
      <c r="C223" t="s">
        <v>371</v>
      </c>
      <c r="D223">
        <v>43.957000000000001</v>
      </c>
    </row>
    <row r="224" spans="1:4" x14ac:dyDescent="0.3">
      <c r="A224" t="s">
        <v>649</v>
      </c>
      <c r="B224" t="s">
        <v>650</v>
      </c>
      <c r="C224" t="s">
        <v>198</v>
      </c>
      <c r="D224">
        <v>3.319</v>
      </c>
    </row>
    <row r="225" spans="1:4" x14ac:dyDescent="0.3">
      <c r="A225" t="s">
        <v>651</v>
      </c>
      <c r="B225" t="s">
        <v>652</v>
      </c>
      <c r="C225" t="s">
        <v>653</v>
      </c>
      <c r="D225">
        <v>0.871</v>
      </c>
    </row>
    <row r="226" spans="1:4" x14ac:dyDescent="0.3">
      <c r="A226" t="s">
        <v>654</v>
      </c>
      <c r="B226" t="s">
        <v>655</v>
      </c>
      <c r="C226" t="s">
        <v>656</v>
      </c>
      <c r="D226">
        <v>10.754</v>
      </c>
    </row>
    <row r="227" spans="1:4" x14ac:dyDescent="0.3">
      <c r="A227" t="s">
        <v>657</v>
      </c>
      <c r="B227" t="s">
        <v>658</v>
      </c>
      <c r="C227" t="s">
        <v>659</v>
      </c>
      <c r="D227">
        <v>0.39900000000000002</v>
      </c>
    </row>
    <row r="228" spans="1:4" x14ac:dyDescent="0.3">
      <c r="A228" t="s">
        <v>660</v>
      </c>
      <c r="B228" t="s">
        <v>661</v>
      </c>
      <c r="C228" t="s">
        <v>198</v>
      </c>
      <c r="D228">
        <v>68.504000000000005</v>
      </c>
    </row>
    <row r="229" spans="1:4" x14ac:dyDescent="0.3">
      <c r="A229" t="s">
        <v>662</v>
      </c>
      <c r="B229" t="s">
        <v>663</v>
      </c>
      <c r="C229" t="s">
        <v>273</v>
      </c>
      <c r="D229">
        <v>34.426000000000002</v>
      </c>
    </row>
    <row r="230" spans="1:4" x14ac:dyDescent="0.3">
      <c r="A230" t="s">
        <v>664</v>
      </c>
      <c r="B230" t="s">
        <v>665</v>
      </c>
      <c r="C230" t="s">
        <v>311</v>
      </c>
      <c r="D230">
        <v>0.55000000000000004</v>
      </c>
    </row>
    <row r="231" spans="1:4" x14ac:dyDescent="0.3">
      <c r="A231" t="s">
        <v>1569</v>
      </c>
      <c r="B231" t="s">
        <v>1570</v>
      </c>
      <c r="C231" t="s">
        <v>198</v>
      </c>
      <c r="D231">
        <v>2.9279999999999999</v>
      </c>
    </row>
    <row r="232" spans="1:4" x14ac:dyDescent="0.3">
      <c r="A232" t="s">
        <v>1571</v>
      </c>
      <c r="B232" t="s">
        <v>1572</v>
      </c>
      <c r="C232" t="s">
        <v>198</v>
      </c>
      <c r="D232">
        <v>2.903</v>
      </c>
    </row>
    <row r="233" spans="1:4" x14ac:dyDescent="0.3">
      <c r="A233" t="s">
        <v>668</v>
      </c>
      <c r="B233" t="s">
        <v>669</v>
      </c>
      <c r="C233" t="s">
        <v>670</v>
      </c>
      <c r="D233">
        <v>1307.481</v>
      </c>
    </row>
    <row r="234" spans="1:4" x14ac:dyDescent="0.3">
      <c r="A234" t="s">
        <v>1981</v>
      </c>
      <c r="B234" t="s">
        <v>1982</v>
      </c>
      <c r="C234" t="s">
        <v>458</v>
      </c>
      <c r="D234">
        <v>127.748</v>
      </c>
    </row>
    <row r="235" spans="1:4" x14ac:dyDescent="0.3">
      <c r="A235" t="s">
        <v>671</v>
      </c>
      <c r="B235" t="s">
        <v>672</v>
      </c>
      <c r="C235" t="s">
        <v>199</v>
      </c>
      <c r="D235">
        <v>9.0999999999999998E-2</v>
      </c>
    </row>
    <row r="236" spans="1:4" x14ac:dyDescent="0.3">
      <c r="A236" t="s">
        <v>673</v>
      </c>
      <c r="B236" t="s">
        <v>674</v>
      </c>
      <c r="C236" t="s">
        <v>405</v>
      </c>
      <c r="D236">
        <v>20.992000000000001</v>
      </c>
    </row>
    <row r="237" spans="1:4" x14ac:dyDescent="0.3">
      <c r="A237" t="s">
        <v>675</v>
      </c>
      <c r="B237" t="s">
        <v>676</v>
      </c>
      <c r="C237" t="s">
        <v>295</v>
      </c>
      <c r="D237">
        <v>0.67300000000000004</v>
      </c>
    </row>
    <row r="238" spans="1:4" x14ac:dyDescent="0.3">
      <c r="A238" t="s">
        <v>677</v>
      </c>
      <c r="B238" t="s">
        <v>678</v>
      </c>
      <c r="C238" t="s">
        <v>458</v>
      </c>
      <c r="D238">
        <v>30.456</v>
      </c>
    </row>
    <row r="239" spans="1:4" x14ac:dyDescent="0.3">
      <c r="A239" t="s">
        <v>679</v>
      </c>
      <c r="B239" t="s">
        <v>680</v>
      </c>
      <c r="C239" t="s">
        <v>199</v>
      </c>
      <c r="D239">
        <v>2.5000000000000001E-2</v>
      </c>
    </row>
    <row r="240" spans="1:4" x14ac:dyDescent="0.3">
      <c r="A240" t="s">
        <v>681</v>
      </c>
      <c r="B240" t="s">
        <v>682</v>
      </c>
      <c r="C240" t="s">
        <v>683</v>
      </c>
      <c r="D240">
        <v>11.65</v>
      </c>
    </row>
    <row r="241" spans="1:4" x14ac:dyDescent="0.3">
      <c r="A241" t="s">
        <v>684</v>
      </c>
      <c r="B241" t="s">
        <v>685</v>
      </c>
      <c r="C241" t="s">
        <v>442</v>
      </c>
      <c r="D241">
        <v>7.3940000000000001</v>
      </c>
    </row>
    <row r="242" spans="1:4" x14ac:dyDescent="0.3">
      <c r="A242" t="s">
        <v>686</v>
      </c>
      <c r="B242" t="s">
        <v>687</v>
      </c>
      <c r="C242" t="s">
        <v>688</v>
      </c>
      <c r="D242">
        <v>0.755</v>
      </c>
    </row>
    <row r="243" spans="1:4" x14ac:dyDescent="0.3">
      <c r="A243" t="s">
        <v>689</v>
      </c>
      <c r="B243" t="s">
        <v>690</v>
      </c>
      <c r="C243" t="s">
        <v>522</v>
      </c>
      <c r="D243">
        <v>2.0649999999999999</v>
      </c>
    </row>
    <row r="244" spans="1:4" x14ac:dyDescent="0.3">
      <c r="A244" t="s">
        <v>691</v>
      </c>
      <c r="B244" t="s">
        <v>692</v>
      </c>
      <c r="C244" t="s">
        <v>257</v>
      </c>
      <c r="D244">
        <v>6.4509999999999996</v>
      </c>
    </row>
    <row r="245" spans="1:4" x14ac:dyDescent="0.3">
      <c r="A245" t="s">
        <v>693</v>
      </c>
      <c r="B245" t="s">
        <v>694</v>
      </c>
      <c r="C245" t="s">
        <v>198</v>
      </c>
      <c r="D245">
        <v>28.739000000000001</v>
      </c>
    </row>
    <row r="246" spans="1:4" x14ac:dyDescent="0.3">
      <c r="A246" t="s">
        <v>695</v>
      </c>
      <c r="B246" t="s">
        <v>696</v>
      </c>
      <c r="C246" t="s">
        <v>257</v>
      </c>
      <c r="D246">
        <v>0.81899999999999995</v>
      </c>
    </row>
    <row r="247" spans="1:4" x14ac:dyDescent="0.3">
      <c r="A247" t="s">
        <v>697</v>
      </c>
      <c r="B247" t="s">
        <v>698</v>
      </c>
      <c r="C247" t="s">
        <v>699</v>
      </c>
      <c r="D247">
        <v>19.274000000000001</v>
      </c>
    </row>
    <row r="248" spans="1:4" x14ac:dyDescent="0.3">
      <c r="A248" t="s">
        <v>700</v>
      </c>
      <c r="B248" t="s">
        <v>701</v>
      </c>
      <c r="C248" t="s">
        <v>198</v>
      </c>
      <c r="D248">
        <v>1.113</v>
      </c>
    </row>
    <row r="249" spans="1:4" x14ac:dyDescent="0.3">
      <c r="A249" t="s">
        <v>702</v>
      </c>
      <c r="B249" t="s">
        <v>703</v>
      </c>
      <c r="C249" t="s">
        <v>198</v>
      </c>
      <c r="D249">
        <v>0.11600000000000001</v>
      </c>
    </row>
    <row r="250" spans="1:4" x14ac:dyDescent="0.3">
      <c r="A250" t="s">
        <v>704</v>
      </c>
      <c r="B250" t="s">
        <v>705</v>
      </c>
      <c r="C250" t="s">
        <v>200</v>
      </c>
      <c r="D250">
        <v>2.0099999999999998</v>
      </c>
    </row>
    <row r="251" spans="1:4" x14ac:dyDescent="0.3">
      <c r="A251" t="s">
        <v>706</v>
      </c>
      <c r="B251" t="s">
        <v>707</v>
      </c>
      <c r="C251" t="s">
        <v>199</v>
      </c>
      <c r="D251">
        <v>2.7879999999999998</v>
      </c>
    </row>
    <row r="252" spans="1:4" x14ac:dyDescent="0.3">
      <c r="A252" t="s">
        <v>708</v>
      </c>
      <c r="B252" t="s">
        <v>709</v>
      </c>
      <c r="C252" t="s">
        <v>199</v>
      </c>
      <c r="D252">
        <v>8.7149999999999999</v>
      </c>
    </row>
    <row r="253" spans="1:4" x14ac:dyDescent="0.3">
      <c r="A253" t="s">
        <v>710</v>
      </c>
      <c r="B253" t="s">
        <v>711</v>
      </c>
      <c r="C253" t="s">
        <v>452</v>
      </c>
      <c r="D253">
        <v>8.6579999999999995</v>
      </c>
    </row>
    <row r="254" spans="1:4" x14ac:dyDescent="0.3">
      <c r="A254" t="s">
        <v>712</v>
      </c>
      <c r="B254" t="s">
        <v>713</v>
      </c>
      <c r="C254" t="s">
        <v>257</v>
      </c>
      <c r="D254">
        <v>9.5190000000000001</v>
      </c>
    </row>
    <row r="255" spans="1:4" x14ac:dyDescent="0.3">
      <c r="A255" t="s">
        <v>714</v>
      </c>
      <c r="B255" t="s">
        <v>715</v>
      </c>
      <c r="C255" t="s">
        <v>199</v>
      </c>
      <c r="D255">
        <v>3.258</v>
      </c>
    </row>
    <row r="256" spans="1:4" x14ac:dyDescent="0.3">
      <c r="A256" t="s">
        <v>716</v>
      </c>
      <c r="B256" t="s">
        <v>717</v>
      </c>
      <c r="C256" t="s">
        <v>198</v>
      </c>
      <c r="D256">
        <v>12.768000000000001</v>
      </c>
    </row>
    <row r="257" spans="1:4" x14ac:dyDescent="0.3">
      <c r="A257" t="s">
        <v>718</v>
      </c>
      <c r="B257" t="s">
        <v>719</v>
      </c>
      <c r="C257" t="s">
        <v>198</v>
      </c>
      <c r="D257">
        <v>3.4359999999999999</v>
      </c>
    </row>
    <row r="258" spans="1:4" x14ac:dyDescent="0.3">
      <c r="A258" t="s">
        <v>720</v>
      </c>
      <c r="B258" t="s">
        <v>721</v>
      </c>
      <c r="C258" t="s">
        <v>198</v>
      </c>
      <c r="D258">
        <v>23.253</v>
      </c>
    </row>
    <row r="259" spans="1:4" x14ac:dyDescent="0.3">
      <c r="A259" t="s">
        <v>722</v>
      </c>
      <c r="B259" t="s">
        <v>723</v>
      </c>
      <c r="C259" t="s">
        <v>198</v>
      </c>
      <c r="D259">
        <v>58.576000000000001</v>
      </c>
    </row>
    <row r="260" spans="1:4" x14ac:dyDescent="0.3">
      <c r="A260" t="s">
        <v>724</v>
      </c>
      <c r="B260" t="s">
        <v>725</v>
      </c>
      <c r="C260" t="s">
        <v>198</v>
      </c>
      <c r="D260">
        <v>205.113</v>
      </c>
    </row>
    <row r="261" spans="1:4" x14ac:dyDescent="0.3">
      <c r="A261" t="s">
        <v>726</v>
      </c>
      <c r="B261" t="s">
        <v>727</v>
      </c>
      <c r="C261" t="s">
        <v>728</v>
      </c>
      <c r="D261">
        <v>1.0389999999999999</v>
      </c>
    </row>
    <row r="262" spans="1:4" x14ac:dyDescent="0.3">
      <c r="A262" t="s">
        <v>729</v>
      </c>
      <c r="B262" t="s">
        <v>730</v>
      </c>
      <c r="C262" t="s">
        <v>200</v>
      </c>
      <c r="D262">
        <v>37.89</v>
      </c>
    </row>
    <row r="263" spans="1:4" x14ac:dyDescent="0.3">
      <c r="A263" t="s">
        <v>731</v>
      </c>
      <c r="B263" t="s">
        <v>732</v>
      </c>
      <c r="C263" t="s">
        <v>198</v>
      </c>
      <c r="D263">
        <v>2.9169999999999998</v>
      </c>
    </row>
    <row r="264" spans="1:4" x14ac:dyDescent="0.3">
      <c r="A264" t="s">
        <v>733</v>
      </c>
      <c r="B264" t="s">
        <v>734</v>
      </c>
      <c r="C264" t="s">
        <v>735</v>
      </c>
      <c r="D264">
        <v>5.7320000000000002</v>
      </c>
    </row>
    <row r="265" spans="1:4" x14ac:dyDescent="0.3">
      <c r="A265" t="s">
        <v>736</v>
      </c>
      <c r="B265" t="s">
        <v>737</v>
      </c>
      <c r="C265" t="s">
        <v>738</v>
      </c>
      <c r="D265">
        <v>39.536000000000001</v>
      </c>
    </row>
    <row r="266" spans="1:4" x14ac:dyDescent="0.3">
      <c r="A266" t="s">
        <v>739</v>
      </c>
      <c r="B266" t="s">
        <v>740</v>
      </c>
      <c r="C266" t="s">
        <v>198</v>
      </c>
      <c r="D266">
        <v>0.09</v>
      </c>
    </row>
    <row r="267" spans="1:4" x14ac:dyDescent="0.3">
      <c r="A267" t="s">
        <v>741</v>
      </c>
      <c r="B267" t="s">
        <v>742</v>
      </c>
      <c r="C267" t="s">
        <v>199</v>
      </c>
      <c r="D267">
        <v>23.785</v>
      </c>
    </row>
    <row r="268" spans="1:4" x14ac:dyDescent="0.3">
      <c r="A268" t="s">
        <v>743</v>
      </c>
      <c r="B268" t="s">
        <v>744</v>
      </c>
      <c r="C268" t="s">
        <v>325</v>
      </c>
      <c r="D268">
        <v>23.93</v>
      </c>
    </row>
    <row r="269" spans="1:4" x14ac:dyDescent="0.3">
      <c r="A269" t="s">
        <v>745</v>
      </c>
      <c r="B269" t="s">
        <v>746</v>
      </c>
      <c r="C269" t="s">
        <v>198</v>
      </c>
      <c r="D269">
        <v>12.553000000000001</v>
      </c>
    </row>
    <row r="270" spans="1:4" x14ac:dyDescent="0.3">
      <c r="A270" t="s">
        <v>747</v>
      </c>
      <c r="B270" t="s">
        <v>748</v>
      </c>
      <c r="C270" t="s">
        <v>749</v>
      </c>
      <c r="D270">
        <v>8.3119999999999994</v>
      </c>
    </row>
    <row r="271" spans="1:4" x14ac:dyDescent="0.3">
      <c r="A271" t="s">
        <v>750</v>
      </c>
      <c r="B271" t="s">
        <v>751</v>
      </c>
      <c r="C271" t="s">
        <v>728</v>
      </c>
      <c r="D271">
        <v>1.9</v>
      </c>
    </row>
    <row r="272" spans="1:4" x14ac:dyDescent="0.3">
      <c r="A272" t="s">
        <v>752</v>
      </c>
      <c r="B272" t="s">
        <v>753</v>
      </c>
      <c r="C272" t="s">
        <v>452</v>
      </c>
      <c r="D272">
        <v>0.56299999999999994</v>
      </c>
    </row>
    <row r="273" spans="1:4" x14ac:dyDescent="0.3">
      <c r="A273" t="s">
        <v>754</v>
      </c>
      <c r="B273" t="s">
        <v>755</v>
      </c>
      <c r="C273" t="s">
        <v>756</v>
      </c>
      <c r="D273">
        <v>785.50199999999995</v>
      </c>
    </row>
    <row r="274" spans="1:4" x14ac:dyDescent="0.3">
      <c r="A274" t="s">
        <v>760</v>
      </c>
      <c r="B274" t="s">
        <v>761</v>
      </c>
      <c r="C274" t="s">
        <v>762</v>
      </c>
      <c r="D274">
        <v>2469.355</v>
      </c>
    </row>
    <row r="275" spans="1:4" x14ac:dyDescent="0.3">
      <c r="A275" t="s">
        <v>763</v>
      </c>
      <c r="B275" t="s">
        <v>764</v>
      </c>
      <c r="C275" t="s">
        <v>198</v>
      </c>
      <c r="D275">
        <v>2900.415</v>
      </c>
    </row>
    <row r="276" spans="1:4" x14ac:dyDescent="0.3">
      <c r="A276" t="s">
        <v>765</v>
      </c>
      <c r="B276" t="s">
        <v>766</v>
      </c>
      <c r="C276" t="s">
        <v>767</v>
      </c>
      <c r="D276">
        <v>31.097000000000001</v>
      </c>
    </row>
    <row r="277" spans="1:4" x14ac:dyDescent="0.3">
      <c r="A277" t="s">
        <v>768</v>
      </c>
      <c r="B277" t="s">
        <v>769</v>
      </c>
      <c r="C277" t="s">
        <v>209</v>
      </c>
      <c r="D277">
        <v>27.62</v>
      </c>
    </row>
    <row r="278" spans="1:4" x14ac:dyDescent="0.3">
      <c r="A278" t="s">
        <v>770</v>
      </c>
      <c r="B278" t="s">
        <v>771</v>
      </c>
      <c r="C278" t="s">
        <v>767</v>
      </c>
      <c r="D278">
        <v>0.93899999999999995</v>
      </c>
    </row>
    <row r="279" spans="1:4" x14ac:dyDescent="0.3">
      <c r="A279" t="s">
        <v>772</v>
      </c>
      <c r="B279" t="s">
        <v>773</v>
      </c>
      <c r="C279" t="s">
        <v>774</v>
      </c>
      <c r="D279">
        <v>1.4179999999999999</v>
      </c>
    </row>
    <row r="280" spans="1:4" x14ac:dyDescent="0.3">
      <c r="A280" t="s">
        <v>775</v>
      </c>
      <c r="B280" t="s">
        <v>776</v>
      </c>
      <c r="C280" t="s">
        <v>683</v>
      </c>
      <c r="D280">
        <v>120.44799999999999</v>
      </c>
    </row>
    <row r="281" spans="1:4" x14ac:dyDescent="0.3">
      <c r="A281" t="s">
        <v>777</v>
      </c>
      <c r="B281" t="s">
        <v>778</v>
      </c>
      <c r="C281" t="s">
        <v>209</v>
      </c>
      <c r="D281">
        <v>2.2709999999999999</v>
      </c>
    </row>
    <row r="282" spans="1:4" x14ac:dyDescent="0.3">
      <c r="A282" t="s">
        <v>779</v>
      </c>
      <c r="B282" t="s">
        <v>780</v>
      </c>
      <c r="C282" t="s">
        <v>781</v>
      </c>
      <c r="D282">
        <v>44.945</v>
      </c>
    </row>
    <row r="283" spans="1:4" x14ac:dyDescent="0.3">
      <c r="A283" t="s">
        <v>782</v>
      </c>
      <c r="B283" t="s">
        <v>783</v>
      </c>
      <c r="C283" t="s">
        <v>198</v>
      </c>
      <c r="D283">
        <v>382.64</v>
      </c>
    </row>
    <row r="284" spans="1:4" x14ac:dyDescent="0.3">
      <c r="A284" t="s">
        <v>784</v>
      </c>
      <c r="B284" t="s">
        <v>785</v>
      </c>
      <c r="C284" t="s">
        <v>452</v>
      </c>
      <c r="D284">
        <v>9.8569999999999993</v>
      </c>
    </row>
    <row r="285" spans="1:4" x14ac:dyDescent="0.3">
      <c r="A285" t="s">
        <v>786</v>
      </c>
      <c r="B285" t="s">
        <v>787</v>
      </c>
      <c r="C285" t="s">
        <v>209</v>
      </c>
      <c r="D285">
        <v>1.4670000000000001</v>
      </c>
    </row>
    <row r="286" spans="1:4" x14ac:dyDescent="0.3">
      <c r="A286" t="s">
        <v>788</v>
      </c>
      <c r="B286" t="s">
        <v>789</v>
      </c>
      <c r="C286" t="s">
        <v>553</v>
      </c>
      <c r="D286">
        <v>11.585000000000001</v>
      </c>
    </row>
    <row r="287" spans="1:4" x14ac:dyDescent="0.3">
      <c r="A287" t="s">
        <v>790</v>
      </c>
      <c r="B287" t="s">
        <v>791</v>
      </c>
      <c r="C287" t="s">
        <v>405</v>
      </c>
      <c r="D287">
        <v>76.850999999999999</v>
      </c>
    </row>
    <row r="288" spans="1:4" x14ac:dyDescent="0.3">
      <c r="A288" t="s">
        <v>792</v>
      </c>
      <c r="B288" t="s">
        <v>793</v>
      </c>
      <c r="C288" t="s">
        <v>295</v>
      </c>
      <c r="D288">
        <v>1.2649999999999999</v>
      </c>
    </row>
    <row r="289" spans="1:4" x14ac:dyDescent="0.3">
      <c r="A289" t="s">
        <v>794</v>
      </c>
      <c r="B289" t="s">
        <v>795</v>
      </c>
      <c r="C289" t="s">
        <v>199</v>
      </c>
      <c r="D289">
        <v>0.13700000000000001</v>
      </c>
    </row>
    <row r="290" spans="1:4" x14ac:dyDescent="0.3">
      <c r="A290" t="s">
        <v>796</v>
      </c>
      <c r="B290" t="s">
        <v>797</v>
      </c>
      <c r="C290" t="s">
        <v>199</v>
      </c>
      <c r="D290">
        <v>1.327</v>
      </c>
    </row>
    <row r="291" spans="1:4" x14ac:dyDescent="0.3">
      <c r="A291" t="s">
        <v>798</v>
      </c>
      <c r="B291" t="s">
        <v>799</v>
      </c>
      <c r="C291" t="s">
        <v>371</v>
      </c>
      <c r="D291">
        <v>15.151</v>
      </c>
    </row>
    <row r="292" spans="1:4" x14ac:dyDescent="0.3">
      <c r="A292" t="s">
        <v>800</v>
      </c>
      <c r="B292" t="s">
        <v>801</v>
      </c>
      <c r="C292" t="s">
        <v>200</v>
      </c>
      <c r="D292">
        <v>409.553</v>
      </c>
    </row>
    <row r="293" spans="1:4" x14ac:dyDescent="0.3">
      <c r="A293" t="s">
        <v>802</v>
      </c>
      <c r="B293" t="s">
        <v>803</v>
      </c>
      <c r="C293" t="s">
        <v>199</v>
      </c>
      <c r="D293">
        <v>1.123</v>
      </c>
    </row>
    <row r="294" spans="1:4" x14ac:dyDescent="0.3">
      <c r="A294" t="s">
        <v>804</v>
      </c>
      <c r="B294" t="s">
        <v>805</v>
      </c>
      <c r="C294" t="s">
        <v>284</v>
      </c>
      <c r="D294">
        <v>456.87900000000002</v>
      </c>
    </row>
    <row r="295" spans="1:4" x14ac:dyDescent="0.3">
      <c r="A295" t="s">
        <v>806</v>
      </c>
      <c r="B295" t="s">
        <v>807</v>
      </c>
      <c r="C295" t="s">
        <v>808</v>
      </c>
      <c r="D295">
        <v>306.928</v>
      </c>
    </row>
    <row r="296" spans="1:4" x14ac:dyDescent="0.3">
      <c r="A296" t="s">
        <v>811</v>
      </c>
      <c r="B296" t="s">
        <v>812</v>
      </c>
      <c r="C296" t="s">
        <v>396</v>
      </c>
      <c r="D296">
        <v>316.05500000000001</v>
      </c>
    </row>
    <row r="297" spans="1:4" x14ac:dyDescent="0.3">
      <c r="A297" t="s">
        <v>813</v>
      </c>
      <c r="B297" t="s">
        <v>814</v>
      </c>
      <c r="C297" t="s">
        <v>273</v>
      </c>
      <c r="D297">
        <v>59.551000000000002</v>
      </c>
    </row>
    <row r="298" spans="1:4" x14ac:dyDescent="0.3">
      <c r="A298" t="s">
        <v>815</v>
      </c>
      <c r="B298" t="s">
        <v>816</v>
      </c>
      <c r="C298" t="s">
        <v>198</v>
      </c>
      <c r="D298">
        <v>9.9559999999999995</v>
      </c>
    </row>
    <row r="299" spans="1:4" x14ac:dyDescent="0.3">
      <c r="A299" t="s">
        <v>817</v>
      </c>
      <c r="B299" t="s">
        <v>818</v>
      </c>
      <c r="C299" t="s">
        <v>819</v>
      </c>
      <c r="D299">
        <v>22.204000000000001</v>
      </c>
    </row>
    <row r="300" spans="1:4" x14ac:dyDescent="0.3">
      <c r="A300" t="s">
        <v>820</v>
      </c>
      <c r="B300" t="s">
        <v>821</v>
      </c>
      <c r="C300" t="s">
        <v>822</v>
      </c>
      <c r="D300">
        <v>77.533000000000001</v>
      </c>
    </row>
    <row r="301" spans="1:4" x14ac:dyDescent="0.3">
      <c r="A301" t="s">
        <v>823</v>
      </c>
      <c r="B301" t="s">
        <v>824</v>
      </c>
      <c r="C301" t="s">
        <v>825</v>
      </c>
      <c r="D301">
        <v>4.702</v>
      </c>
    </row>
    <row r="302" spans="1:4" x14ac:dyDescent="0.3">
      <c r="A302" t="s">
        <v>826</v>
      </c>
      <c r="B302" t="s">
        <v>827</v>
      </c>
      <c r="C302" t="s">
        <v>825</v>
      </c>
      <c r="D302">
        <v>30.03</v>
      </c>
    </row>
    <row r="303" spans="1:4" x14ac:dyDescent="0.3">
      <c r="A303" t="s">
        <v>828</v>
      </c>
      <c r="B303" t="s">
        <v>1573</v>
      </c>
      <c r="C303" t="s">
        <v>396</v>
      </c>
      <c r="D303">
        <v>10.96</v>
      </c>
    </row>
    <row r="304" spans="1:4" x14ac:dyDescent="0.3">
      <c r="A304" t="s">
        <v>830</v>
      </c>
      <c r="B304" t="s">
        <v>831</v>
      </c>
      <c r="C304" t="s">
        <v>198</v>
      </c>
      <c r="D304">
        <v>7.5999999999999998E-2</v>
      </c>
    </row>
    <row r="305" spans="1:4" x14ac:dyDescent="0.3">
      <c r="A305" t="s">
        <v>832</v>
      </c>
      <c r="B305" t="s">
        <v>833</v>
      </c>
      <c r="C305" t="s">
        <v>834</v>
      </c>
      <c r="D305">
        <v>82.296000000000006</v>
      </c>
    </row>
    <row r="306" spans="1:4" x14ac:dyDescent="0.3">
      <c r="A306" t="s">
        <v>1574</v>
      </c>
      <c r="B306" t="s">
        <v>1575</v>
      </c>
      <c r="C306" t="s">
        <v>1576</v>
      </c>
      <c r="D306">
        <v>10.709</v>
      </c>
    </row>
    <row r="307" spans="1:4" x14ac:dyDescent="0.3">
      <c r="A307" t="s">
        <v>835</v>
      </c>
      <c r="B307" t="s">
        <v>836</v>
      </c>
      <c r="C307" t="s">
        <v>381</v>
      </c>
      <c r="D307">
        <v>7.8120000000000003</v>
      </c>
    </row>
    <row r="308" spans="1:4" x14ac:dyDescent="0.3">
      <c r="A308" t="s">
        <v>837</v>
      </c>
      <c r="B308" t="s">
        <v>838</v>
      </c>
      <c r="C308" t="s">
        <v>839</v>
      </c>
      <c r="D308">
        <v>117.89400000000001</v>
      </c>
    </row>
    <row r="309" spans="1:4" x14ac:dyDescent="0.3">
      <c r="A309" t="s">
        <v>842</v>
      </c>
      <c r="B309" t="s">
        <v>843</v>
      </c>
      <c r="C309" t="s">
        <v>325</v>
      </c>
      <c r="D309">
        <v>49.512</v>
      </c>
    </row>
    <row r="310" spans="1:4" x14ac:dyDescent="0.3">
      <c r="A310" t="s">
        <v>844</v>
      </c>
      <c r="B310" t="s">
        <v>845</v>
      </c>
      <c r="C310" t="s">
        <v>199</v>
      </c>
      <c r="D310">
        <v>121.919</v>
      </c>
    </row>
    <row r="311" spans="1:4" x14ac:dyDescent="0.3">
      <c r="A311" t="s">
        <v>846</v>
      </c>
      <c r="B311" t="s">
        <v>847</v>
      </c>
      <c r="C311" t="s">
        <v>848</v>
      </c>
      <c r="D311">
        <v>2.1589999999999998</v>
      </c>
    </row>
    <row r="312" spans="1:4" x14ac:dyDescent="0.3">
      <c r="A312" t="s">
        <v>849</v>
      </c>
      <c r="B312" t="s">
        <v>850</v>
      </c>
      <c r="C312" t="s">
        <v>491</v>
      </c>
      <c r="D312">
        <v>4.0270000000000001</v>
      </c>
    </row>
    <row r="313" spans="1:4" x14ac:dyDescent="0.3">
      <c r="A313" t="s">
        <v>851</v>
      </c>
      <c r="B313" t="s">
        <v>850</v>
      </c>
      <c r="C313" t="s">
        <v>852</v>
      </c>
      <c r="D313">
        <v>5.4509999999999996</v>
      </c>
    </row>
    <row r="314" spans="1:4" x14ac:dyDescent="0.3">
      <c r="A314" t="s">
        <v>853</v>
      </c>
      <c r="B314" t="s">
        <v>854</v>
      </c>
      <c r="C314" t="s">
        <v>198</v>
      </c>
      <c r="D314">
        <v>87.412000000000006</v>
      </c>
    </row>
    <row r="315" spans="1:4" x14ac:dyDescent="0.3">
      <c r="A315" t="s">
        <v>855</v>
      </c>
      <c r="B315" t="s">
        <v>856</v>
      </c>
      <c r="C315" t="s">
        <v>405</v>
      </c>
      <c r="D315">
        <v>33.103000000000002</v>
      </c>
    </row>
    <row r="316" spans="1:4" x14ac:dyDescent="0.3">
      <c r="A316" t="s">
        <v>857</v>
      </c>
      <c r="B316" t="s">
        <v>858</v>
      </c>
      <c r="C316" t="s">
        <v>273</v>
      </c>
      <c r="D316">
        <v>0.621</v>
      </c>
    </row>
    <row r="317" spans="1:4" x14ac:dyDescent="0.3">
      <c r="A317" t="s">
        <v>1948</v>
      </c>
      <c r="B317" t="s">
        <v>1949</v>
      </c>
      <c r="C317" t="s">
        <v>198</v>
      </c>
      <c r="D317">
        <v>15.603</v>
      </c>
    </row>
    <row r="318" spans="1:4" x14ac:dyDescent="0.3">
      <c r="A318" t="s">
        <v>1948</v>
      </c>
      <c r="B318" t="s">
        <v>1949</v>
      </c>
      <c r="C318" t="s">
        <v>198</v>
      </c>
      <c r="D318">
        <v>15.603</v>
      </c>
    </row>
    <row r="319" spans="1:4" x14ac:dyDescent="0.3">
      <c r="A319" t="s">
        <v>859</v>
      </c>
      <c r="B319" t="s">
        <v>860</v>
      </c>
      <c r="C319" t="s">
        <v>371</v>
      </c>
      <c r="D319">
        <v>41.38</v>
      </c>
    </row>
    <row r="320" spans="1:4" x14ac:dyDescent="0.3">
      <c r="A320" t="s">
        <v>863</v>
      </c>
      <c r="B320" t="s">
        <v>864</v>
      </c>
      <c r="C320" t="s">
        <v>198</v>
      </c>
      <c r="D320">
        <v>1.5840000000000001</v>
      </c>
    </row>
    <row r="321" spans="1:4" x14ac:dyDescent="0.3">
      <c r="A321" t="s">
        <v>865</v>
      </c>
      <c r="B321" t="s">
        <v>866</v>
      </c>
      <c r="C321" t="s">
        <v>199</v>
      </c>
      <c r="D321">
        <v>6.6609999999999996</v>
      </c>
    </row>
    <row r="322" spans="1:4" x14ac:dyDescent="0.3">
      <c r="A322" t="s">
        <v>867</v>
      </c>
      <c r="B322" t="s">
        <v>868</v>
      </c>
      <c r="C322" t="s">
        <v>198</v>
      </c>
      <c r="D322">
        <v>134.80699999999999</v>
      </c>
    </row>
    <row r="323" spans="1:4" x14ac:dyDescent="0.3">
      <c r="A323" t="s">
        <v>869</v>
      </c>
      <c r="B323" t="s">
        <v>870</v>
      </c>
      <c r="C323" t="s">
        <v>198</v>
      </c>
      <c r="D323">
        <v>1.3720000000000001</v>
      </c>
    </row>
    <row r="324" spans="1:4" x14ac:dyDescent="0.3">
      <c r="A324" t="s">
        <v>1577</v>
      </c>
      <c r="B324" t="s">
        <v>1578</v>
      </c>
      <c r="C324" t="s">
        <v>198</v>
      </c>
      <c r="D324">
        <v>9.3059999999999992</v>
      </c>
    </row>
    <row r="325" spans="1:4" x14ac:dyDescent="0.3">
      <c r="A325" t="s">
        <v>871</v>
      </c>
      <c r="B325" t="s">
        <v>872</v>
      </c>
      <c r="C325" t="s">
        <v>198</v>
      </c>
      <c r="D325">
        <v>5.0999999999999997E-2</v>
      </c>
    </row>
    <row r="326" spans="1:4" x14ac:dyDescent="0.3">
      <c r="A326" t="s">
        <v>873</v>
      </c>
      <c r="B326" t="s">
        <v>874</v>
      </c>
      <c r="C326" t="s">
        <v>198</v>
      </c>
      <c r="D326">
        <v>1.5669999999999999</v>
      </c>
    </row>
    <row r="327" spans="1:4" x14ac:dyDescent="0.3">
      <c r="A327" t="s">
        <v>875</v>
      </c>
      <c r="B327" t="s">
        <v>876</v>
      </c>
      <c r="C327" t="s">
        <v>209</v>
      </c>
      <c r="D327">
        <v>34.715000000000003</v>
      </c>
    </row>
    <row r="328" spans="1:4" x14ac:dyDescent="0.3">
      <c r="A328" t="s">
        <v>877</v>
      </c>
      <c r="B328" t="s">
        <v>878</v>
      </c>
      <c r="C328" t="s">
        <v>879</v>
      </c>
      <c r="D328">
        <v>1841.184</v>
      </c>
    </row>
    <row r="329" spans="1:4" x14ac:dyDescent="0.3">
      <c r="A329" t="s">
        <v>1950</v>
      </c>
      <c r="B329" t="s">
        <v>1951</v>
      </c>
      <c r="C329" t="s">
        <v>199</v>
      </c>
      <c r="D329">
        <v>315.88</v>
      </c>
    </row>
    <row r="330" spans="1:4" x14ac:dyDescent="0.3">
      <c r="A330" t="s">
        <v>880</v>
      </c>
      <c r="B330" t="s">
        <v>881</v>
      </c>
      <c r="C330" t="s">
        <v>198</v>
      </c>
      <c r="D330">
        <v>0.996</v>
      </c>
    </row>
    <row r="331" spans="1:4" x14ac:dyDescent="0.3">
      <c r="A331" t="s">
        <v>882</v>
      </c>
      <c r="B331" t="s">
        <v>883</v>
      </c>
      <c r="C331" t="s">
        <v>198</v>
      </c>
      <c r="D331">
        <v>135.37</v>
      </c>
    </row>
    <row r="332" spans="1:4" x14ac:dyDescent="0.3">
      <c r="A332" t="s">
        <v>884</v>
      </c>
      <c r="B332" t="s">
        <v>885</v>
      </c>
      <c r="C332" t="s">
        <v>442</v>
      </c>
      <c r="D332">
        <v>40.707000000000001</v>
      </c>
    </row>
    <row r="333" spans="1:4" x14ac:dyDescent="0.3">
      <c r="A333" t="s">
        <v>886</v>
      </c>
      <c r="B333" t="s">
        <v>887</v>
      </c>
      <c r="C333" t="s">
        <v>494</v>
      </c>
      <c r="D333">
        <v>4.0529999999999999</v>
      </c>
    </row>
    <row r="334" spans="1:4" x14ac:dyDescent="0.3">
      <c r="A334" t="s">
        <v>888</v>
      </c>
      <c r="B334" t="s">
        <v>889</v>
      </c>
      <c r="C334" t="s">
        <v>198</v>
      </c>
      <c r="D334">
        <v>5.532</v>
      </c>
    </row>
    <row r="335" spans="1:4" x14ac:dyDescent="0.3">
      <c r="A335" t="s">
        <v>890</v>
      </c>
      <c r="B335" t="s">
        <v>891</v>
      </c>
      <c r="C335" t="s">
        <v>198</v>
      </c>
      <c r="D335">
        <v>60.378999999999998</v>
      </c>
    </row>
    <row r="336" spans="1:4" x14ac:dyDescent="0.3">
      <c r="A336" t="s">
        <v>892</v>
      </c>
      <c r="B336" t="s">
        <v>893</v>
      </c>
      <c r="C336" t="s">
        <v>198</v>
      </c>
      <c r="D336">
        <v>3.887</v>
      </c>
    </row>
    <row r="337" spans="1:4" x14ac:dyDescent="0.3">
      <c r="A337" t="s">
        <v>894</v>
      </c>
      <c r="B337" t="s">
        <v>895</v>
      </c>
      <c r="C337" t="s">
        <v>199</v>
      </c>
      <c r="D337">
        <v>1.2270000000000001</v>
      </c>
    </row>
    <row r="338" spans="1:4" x14ac:dyDescent="0.3">
      <c r="A338" t="s">
        <v>896</v>
      </c>
      <c r="B338" t="s">
        <v>897</v>
      </c>
      <c r="C338" t="s">
        <v>198</v>
      </c>
      <c r="D338">
        <v>17.995999999999999</v>
      </c>
    </row>
    <row r="339" spans="1:4" x14ac:dyDescent="0.3">
      <c r="A339" t="s">
        <v>898</v>
      </c>
      <c r="B339" t="s">
        <v>899</v>
      </c>
      <c r="C339" t="s">
        <v>670</v>
      </c>
      <c r="D339">
        <v>428.21800000000002</v>
      </c>
    </row>
    <row r="340" spans="1:4" x14ac:dyDescent="0.3">
      <c r="A340" t="s">
        <v>900</v>
      </c>
      <c r="B340" t="s">
        <v>901</v>
      </c>
      <c r="C340" t="s">
        <v>198</v>
      </c>
      <c r="D340">
        <v>172.46899999999999</v>
      </c>
    </row>
    <row r="341" spans="1:4" x14ac:dyDescent="0.3">
      <c r="A341" t="s">
        <v>902</v>
      </c>
      <c r="B341" t="s">
        <v>903</v>
      </c>
      <c r="C341" t="s">
        <v>198</v>
      </c>
      <c r="D341">
        <v>11.744999999999999</v>
      </c>
    </row>
    <row r="342" spans="1:4" x14ac:dyDescent="0.3">
      <c r="A342" t="s">
        <v>904</v>
      </c>
      <c r="B342" t="s">
        <v>905</v>
      </c>
      <c r="C342" t="s">
        <v>200</v>
      </c>
      <c r="D342">
        <v>6.742</v>
      </c>
    </row>
    <row r="343" spans="1:4" x14ac:dyDescent="0.3">
      <c r="A343" t="s">
        <v>906</v>
      </c>
      <c r="B343" t="s">
        <v>907</v>
      </c>
      <c r="C343" t="s">
        <v>284</v>
      </c>
      <c r="D343">
        <v>2.5390000000000001</v>
      </c>
    </row>
    <row r="344" spans="1:4" x14ac:dyDescent="0.3">
      <c r="A344" t="s">
        <v>908</v>
      </c>
      <c r="B344" t="s">
        <v>909</v>
      </c>
      <c r="C344" t="s">
        <v>198</v>
      </c>
      <c r="D344">
        <v>21.015000000000001</v>
      </c>
    </row>
    <row r="345" spans="1:4" x14ac:dyDescent="0.3">
      <c r="A345" t="s">
        <v>910</v>
      </c>
      <c r="B345" t="s">
        <v>911</v>
      </c>
      <c r="C345" t="s">
        <v>360</v>
      </c>
      <c r="D345">
        <v>357.59300000000002</v>
      </c>
    </row>
    <row r="346" spans="1:4" x14ac:dyDescent="0.3">
      <c r="A346" t="s">
        <v>912</v>
      </c>
      <c r="B346" t="s">
        <v>913</v>
      </c>
      <c r="C346" t="s">
        <v>273</v>
      </c>
      <c r="D346">
        <v>11.186999999999999</v>
      </c>
    </row>
    <row r="347" spans="1:4" x14ac:dyDescent="0.3">
      <c r="A347" t="s">
        <v>914</v>
      </c>
      <c r="B347" t="s">
        <v>915</v>
      </c>
      <c r="C347" t="s">
        <v>553</v>
      </c>
      <c r="D347">
        <v>9.6790000000000003</v>
      </c>
    </row>
    <row r="348" spans="1:4" x14ac:dyDescent="0.3">
      <c r="A348" t="s">
        <v>916</v>
      </c>
      <c r="B348" t="s">
        <v>917</v>
      </c>
      <c r="C348" t="s">
        <v>257</v>
      </c>
      <c r="D348">
        <v>3.3490000000000002</v>
      </c>
    </row>
    <row r="349" spans="1:4" x14ac:dyDescent="0.3">
      <c r="A349" t="s">
        <v>918</v>
      </c>
      <c r="B349" t="s">
        <v>919</v>
      </c>
      <c r="C349" t="s">
        <v>257</v>
      </c>
      <c r="D349">
        <v>9.9369999999999994</v>
      </c>
    </row>
    <row r="350" spans="1:4" x14ac:dyDescent="0.3">
      <c r="A350" t="s">
        <v>920</v>
      </c>
      <c r="B350" t="s">
        <v>921</v>
      </c>
      <c r="C350" t="s">
        <v>922</v>
      </c>
      <c r="D350">
        <v>1.9750000000000001</v>
      </c>
    </row>
    <row r="351" spans="1:4" x14ac:dyDescent="0.3">
      <c r="A351" t="s">
        <v>923</v>
      </c>
      <c r="B351" t="s">
        <v>924</v>
      </c>
      <c r="C351" t="s">
        <v>198</v>
      </c>
      <c r="D351">
        <v>3.6819999999999999</v>
      </c>
    </row>
    <row r="352" spans="1:4" x14ac:dyDescent="0.3">
      <c r="A352" t="s">
        <v>925</v>
      </c>
      <c r="B352" t="s">
        <v>926</v>
      </c>
      <c r="C352" t="s">
        <v>199</v>
      </c>
      <c r="D352">
        <v>1.631</v>
      </c>
    </row>
    <row r="353" spans="1:4" x14ac:dyDescent="0.3">
      <c r="A353" t="s">
        <v>927</v>
      </c>
      <c r="B353" t="s">
        <v>928</v>
      </c>
      <c r="C353" t="s">
        <v>354</v>
      </c>
      <c r="D353">
        <v>0.47</v>
      </c>
    </row>
    <row r="354" spans="1:4" x14ac:dyDescent="0.3">
      <c r="A354" t="s">
        <v>929</v>
      </c>
      <c r="B354" t="s">
        <v>930</v>
      </c>
      <c r="C354" t="s">
        <v>931</v>
      </c>
      <c r="D354">
        <v>0.36</v>
      </c>
    </row>
    <row r="355" spans="1:4" x14ac:dyDescent="0.3">
      <c r="A355" t="s">
        <v>932</v>
      </c>
      <c r="B355" t="s">
        <v>933</v>
      </c>
      <c r="C355" t="s">
        <v>284</v>
      </c>
      <c r="D355">
        <v>0.86199999999999999</v>
      </c>
    </row>
    <row r="356" spans="1:4" x14ac:dyDescent="0.3">
      <c r="A356" t="s">
        <v>934</v>
      </c>
      <c r="B356" t="s">
        <v>935</v>
      </c>
      <c r="C356" t="s">
        <v>936</v>
      </c>
      <c r="D356">
        <v>0.158</v>
      </c>
    </row>
    <row r="357" spans="1:4" x14ac:dyDescent="0.3">
      <c r="A357" t="s">
        <v>937</v>
      </c>
      <c r="B357" t="s">
        <v>938</v>
      </c>
      <c r="C357" t="s">
        <v>199</v>
      </c>
      <c r="D357">
        <v>1.5109999999999999</v>
      </c>
    </row>
    <row r="358" spans="1:4" x14ac:dyDescent="0.3">
      <c r="A358" t="s">
        <v>939</v>
      </c>
      <c r="B358" t="s">
        <v>940</v>
      </c>
      <c r="C358" t="s">
        <v>199</v>
      </c>
      <c r="D358">
        <v>16.428000000000001</v>
      </c>
    </row>
    <row r="359" spans="1:4" x14ac:dyDescent="0.3">
      <c r="A359" t="s">
        <v>941</v>
      </c>
      <c r="B359" t="s">
        <v>942</v>
      </c>
      <c r="C359" t="s">
        <v>198</v>
      </c>
      <c r="D359">
        <v>12.141999999999999</v>
      </c>
    </row>
    <row r="360" spans="1:4" x14ac:dyDescent="0.3">
      <c r="A360" t="s">
        <v>943</v>
      </c>
      <c r="B360" t="s">
        <v>944</v>
      </c>
      <c r="C360" t="s">
        <v>945</v>
      </c>
      <c r="D360">
        <v>2.8929999999999998</v>
      </c>
    </row>
    <row r="361" spans="1:4" x14ac:dyDescent="0.3">
      <c r="A361" t="s">
        <v>946</v>
      </c>
      <c r="B361" t="s">
        <v>944</v>
      </c>
      <c r="C361" t="s">
        <v>947</v>
      </c>
      <c r="D361">
        <v>1.4470000000000001</v>
      </c>
    </row>
    <row r="362" spans="1:4" x14ac:dyDescent="0.3">
      <c r="A362" t="s">
        <v>948</v>
      </c>
      <c r="B362" t="s">
        <v>949</v>
      </c>
      <c r="C362" t="s">
        <v>947</v>
      </c>
      <c r="D362">
        <v>1.105</v>
      </c>
    </row>
    <row r="363" spans="1:4" x14ac:dyDescent="0.3">
      <c r="A363" t="s">
        <v>950</v>
      </c>
      <c r="B363" t="s">
        <v>944</v>
      </c>
      <c r="C363" t="s">
        <v>951</v>
      </c>
      <c r="D363">
        <v>0.72299999999999998</v>
      </c>
    </row>
    <row r="364" spans="1:4" x14ac:dyDescent="0.3">
      <c r="A364" t="s">
        <v>952</v>
      </c>
      <c r="B364" t="s">
        <v>953</v>
      </c>
      <c r="C364" t="s">
        <v>947</v>
      </c>
      <c r="D364">
        <v>1.869</v>
      </c>
    </row>
    <row r="365" spans="1:4" x14ac:dyDescent="0.3">
      <c r="A365" t="s">
        <v>954</v>
      </c>
      <c r="B365" t="s">
        <v>955</v>
      </c>
      <c r="C365" t="s">
        <v>956</v>
      </c>
      <c r="D365">
        <v>3.6619999999999999</v>
      </c>
    </row>
    <row r="366" spans="1:4" x14ac:dyDescent="0.3">
      <c r="A366" t="s">
        <v>957</v>
      </c>
      <c r="B366" t="s">
        <v>958</v>
      </c>
      <c r="C366" t="s">
        <v>956</v>
      </c>
      <c r="D366">
        <v>2.3759999999999999</v>
      </c>
    </row>
    <row r="367" spans="1:4" x14ac:dyDescent="0.3">
      <c r="A367" t="s">
        <v>959</v>
      </c>
      <c r="B367" t="s">
        <v>960</v>
      </c>
      <c r="C367" t="s">
        <v>396</v>
      </c>
      <c r="D367">
        <v>48.756</v>
      </c>
    </row>
    <row r="368" spans="1:4" x14ac:dyDescent="0.3">
      <c r="A368" t="s">
        <v>961</v>
      </c>
      <c r="B368" t="s">
        <v>962</v>
      </c>
      <c r="C368" t="s">
        <v>963</v>
      </c>
      <c r="D368">
        <v>8.1989999999999998</v>
      </c>
    </row>
    <row r="369" spans="1:4" x14ac:dyDescent="0.3">
      <c r="A369" t="s">
        <v>1579</v>
      </c>
      <c r="B369" t="s">
        <v>1580</v>
      </c>
      <c r="C369" t="s">
        <v>198</v>
      </c>
      <c r="D369">
        <v>1.4039999999999999</v>
      </c>
    </row>
    <row r="370" spans="1:4" x14ac:dyDescent="0.3">
      <c r="A370" t="s">
        <v>964</v>
      </c>
      <c r="B370" t="s">
        <v>965</v>
      </c>
      <c r="C370" t="s">
        <v>963</v>
      </c>
      <c r="D370">
        <v>1.2969999999999999</v>
      </c>
    </row>
    <row r="371" spans="1:4" x14ac:dyDescent="0.3">
      <c r="A371" t="s">
        <v>966</v>
      </c>
      <c r="B371" t="s">
        <v>967</v>
      </c>
      <c r="C371" t="s">
        <v>963</v>
      </c>
      <c r="D371">
        <v>1.794</v>
      </c>
    </row>
    <row r="372" spans="1:4" x14ac:dyDescent="0.3">
      <c r="A372" t="s">
        <v>968</v>
      </c>
      <c r="B372" t="s">
        <v>969</v>
      </c>
      <c r="C372" t="s">
        <v>963</v>
      </c>
      <c r="D372">
        <v>9.1259999999999994</v>
      </c>
    </row>
    <row r="373" spans="1:4" x14ac:dyDescent="0.3">
      <c r="A373" t="s">
        <v>970</v>
      </c>
      <c r="B373" t="s">
        <v>971</v>
      </c>
      <c r="C373" t="s">
        <v>963</v>
      </c>
      <c r="D373">
        <v>15.742000000000001</v>
      </c>
    </row>
    <row r="374" spans="1:4" x14ac:dyDescent="0.3">
      <c r="A374" t="s">
        <v>972</v>
      </c>
      <c r="B374" t="s">
        <v>973</v>
      </c>
      <c r="C374" t="s">
        <v>963</v>
      </c>
      <c r="D374">
        <v>1.3280000000000001</v>
      </c>
    </row>
    <row r="375" spans="1:4" x14ac:dyDescent="0.3">
      <c r="A375" t="s">
        <v>974</v>
      </c>
      <c r="B375" t="s">
        <v>975</v>
      </c>
      <c r="C375" t="s">
        <v>976</v>
      </c>
      <c r="D375">
        <v>1.135</v>
      </c>
    </row>
    <row r="376" spans="1:4" x14ac:dyDescent="0.3">
      <c r="A376" t="s">
        <v>977</v>
      </c>
      <c r="B376" t="s">
        <v>978</v>
      </c>
      <c r="C376" t="s">
        <v>963</v>
      </c>
      <c r="D376">
        <v>1.33</v>
      </c>
    </row>
    <row r="377" spans="1:4" x14ac:dyDescent="0.3">
      <c r="A377" t="s">
        <v>979</v>
      </c>
      <c r="B377" t="s">
        <v>980</v>
      </c>
      <c r="C377" t="s">
        <v>981</v>
      </c>
      <c r="D377">
        <v>1.121</v>
      </c>
    </row>
    <row r="378" spans="1:4" x14ac:dyDescent="0.3">
      <c r="A378" t="s">
        <v>982</v>
      </c>
      <c r="B378" t="s">
        <v>983</v>
      </c>
      <c r="C378" t="s">
        <v>963</v>
      </c>
      <c r="D378">
        <v>1.262</v>
      </c>
    </row>
    <row r="379" spans="1:4" x14ac:dyDescent="0.3">
      <c r="A379" t="s">
        <v>984</v>
      </c>
      <c r="B379" t="s">
        <v>985</v>
      </c>
      <c r="C379" t="s">
        <v>963</v>
      </c>
      <c r="D379">
        <v>3.202</v>
      </c>
    </row>
    <row r="380" spans="1:4" x14ac:dyDescent="0.3">
      <c r="A380" t="s">
        <v>986</v>
      </c>
      <c r="B380" t="s">
        <v>1983</v>
      </c>
      <c r="C380" t="s">
        <v>452</v>
      </c>
      <c r="D380">
        <v>2.3119999999999998</v>
      </c>
    </row>
    <row r="381" spans="1:4" x14ac:dyDescent="0.3">
      <c r="A381" t="s">
        <v>988</v>
      </c>
      <c r="B381" t="s">
        <v>989</v>
      </c>
      <c r="C381" t="s">
        <v>963</v>
      </c>
      <c r="D381">
        <v>1.115</v>
      </c>
    </row>
    <row r="382" spans="1:4" x14ac:dyDescent="0.3">
      <c r="A382" t="s">
        <v>990</v>
      </c>
      <c r="B382" t="s">
        <v>991</v>
      </c>
      <c r="C382" t="s">
        <v>963</v>
      </c>
      <c r="D382">
        <v>1.411</v>
      </c>
    </row>
    <row r="383" spans="1:4" x14ac:dyDescent="0.3">
      <c r="A383" t="s">
        <v>992</v>
      </c>
      <c r="B383" t="s">
        <v>993</v>
      </c>
      <c r="C383" t="s">
        <v>963</v>
      </c>
      <c r="D383">
        <v>1.1299999999999999</v>
      </c>
    </row>
    <row r="384" spans="1:4" x14ac:dyDescent="0.3">
      <c r="A384" t="s">
        <v>994</v>
      </c>
      <c r="B384" t="s">
        <v>995</v>
      </c>
      <c r="C384" t="s">
        <v>963</v>
      </c>
      <c r="D384">
        <v>1.494</v>
      </c>
    </row>
    <row r="385" spans="1:4" x14ac:dyDescent="0.3">
      <c r="A385" t="s">
        <v>996</v>
      </c>
      <c r="B385" t="s">
        <v>997</v>
      </c>
      <c r="C385" t="s">
        <v>963</v>
      </c>
      <c r="D385">
        <v>1.5880000000000001</v>
      </c>
    </row>
    <row r="386" spans="1:4" x14ac:dyDescent="0.3">
      <c r="A386" t="s">
        <v>998</v>
      </c>
      <c r="B386" t="s">
        <v>999</v>
      </c>
      <c r="C386" t="s">
        <v>963</v>
      </c>
      <c r="D386">
        <v>3.3090000000000002</v>
      </c>
    </row>
    <row r="387" spans="1:4" x14ac:dyDescent="0.3">
      <c r="A387" t="s">
        <v>1000</v>
      </c>
      <c r="B387" t="s">
        <v>1001</v>
      </c>
      <c r="C387" t="s">
        <v>963</v>
      </c>
      <c r="D387">
        <v>2.1509999999999998</v>
      </c>
    </row>
    <row r="388" spans="1:4" x14ac:dyDescent="0.3">
      <c r="A388" t="s">
        <v>1002</v>
      </c>
      <c r="B388" t="s">
        <v>1003</v>
      </c>
      <c r="C388" t="s">
        <v>963</v>
      </c>
      <c r="D388">
        <v>1.4650000000000001</v>
      </c>
    </row>
    <row r="389" spans="1:4" x14ac:dyDescent="0.3">
      <c r="A389" t="s">
        <v>1004</v>
      </c>
      <c r="B389" t="s">
        <v>1005</v>
      </c>
      <c r="C389" t="s">
        <v>963</v>
      </c>
      <c r="D389">
        <v>3.258</v>
      </c>
    </row>
    <row r="390" spans="1:4" x14ac:dyDescent="0.3">
      <c r="A390" t="s">
        <v>1006</v>
      </c>
      <c r="B390" t="s">
        <v>1007</v>
      </c>
      <c r="C390" t="s">
        <v>963</v>
      </c>
      <c r="D390">
        <v>4.6120000000000001</v>
      </c>
    </row>
    <row r="391" spans="1:4" x14ac:dyDescent="0.3">
      <c r="A391" t="s">
        <v>1581</v>
      </c>
      <c r="B391" t="s">
        <v>1582</v>
      </c>
      <c r="C391" t="s">
        <v>198</v>
      </c>
      <c r="D391">
        <v>4.0860000000000003</v>
      </c>
    </row>
    <row r="392" spans="1:4" x14ac:dyDescent="0.3">
      <c r="A392" t="s">
        <v>1952</v>
      </c>
      <c r="B392" t="s">
        <v>1953</v>
      </c>
      <c r="C392" t="s">
        <v>1954</v>
      </c>
      <c r="D392">
        <v>2.2170000000000001</v>
      </c>
    </row>
    <row r="393" spans="1:4" x14ac:dyDescent="0.3">
      <c r="A393" t="s">
        <v>1008</v>
      </c>
      <c r="B393" t="s">
        <v>1009</v>
      </c>
      <c r="C393" t="s">
        <v>963</v>
      </c>
      <c r="D393">
        <v>2.1179999999999999</v>
      </c>
    </row>
    <row r="394" spans="1:4" x14ac:dyDescent="0.3">
      <c r="A394" t="s">
        <v>1010</v>
      </c>
      <c r="B394" t="s">
        <v>1011</v>
      </c>
      <c r="C394" t="s">
        <v>963</v>
      </c>
      <c r="D394">
        <v>1.9179999999999999</v>
      </c>
    </row>
    <row r="395" spans="1:4" x14ac:dyDescent="0.3">
      <c r="A395" t="s">
        <v>1012</v>
      </c>
      <c r="B395" t="s">
        <v>1583</v>
      </c>
      <c r="C395" t="s">
        <v>963</v>
      </c>
      <c r="D395">
        <v>2.0960000000000001</v>
      </c>
    </row>
    <row r="396" spans="1:4" x14ac:dyDescent="0.3">
      <c r="A396" t="s">
        <v>1014</v>
      </c>
      <c r="B396" t="s">
        <v>1015</v>
      </c>
      <c r="C396" t="s">
        <v>963</v>
      </c>
      <c r="D396">
        <v>1.226</v>
      </c>
    </row>
    <row r="397" spans="1:4" x14ac:dyDescent="0.3">
      <c r="A397" t="s">
        <v>1016</v>
      </c>
      <c r="B397" t="s">
        <v>1584</v>
      </c>
      <c r="C397" t="s">
        <v>963</v>
      </c>
      <c r="D397">
        <v>1.37</v>
      </c>
    </row>
    <row r="398" spans="1:4" x14ac:dyDescent="0.3">
      <c r="A398" t="s">
        <v>1018</v>
      </c>
      <c r="B398" t="s">
        <v>1019</v>
      </c>
      <c r="C398" t="s">
        <v>963</v>
      </c>
      <c r="D398">
        <v>1.272</v>
      </c>
    </row>
    <row r="399" spans="1:4" x14ac:dyDescent="0.3">
      <c r="A399" t="s">
        <v>1984</v>
      </c>
      <c r="B399" t="s">
        <v>1985</v>
      </c>
      <c r="C399" t="s">
        <v>452</v>
      </c>
      <c r="D399">
        <v>2.1850000000000001</v>
      </c>
    </row>
    <row r="400" spans="1:4" x14ac:dyDescent="0.3">
      <c r="A400" t="s">
        <v>1020</v>
      </c>
      <c r="B400" t="s">
        <v>1021</v>
      </c>
      <c r="C400" t="s">
        <v>1022</v>
      </c>
      <c r="D400">
        <v>382.125</v>
      </c>
    </row>
    <row r="401" spans="1:4" x14ac:dyDescent="0.3">
      <c r="A401" t="s">
        <v>1023</v>
      </c>
      <c r="B401" t="s">
        <v>1585</v>
      </c>
      <c r="C401" t="s">
        <v>318</v>
      </c>
      <c r="D401">
        <v>340.22</v>
      </c>
    </row>
    <row r="402" spans="1:4" x14ac:dyDescent="0.3">
      <c r="A402" t="s">
        <v>1026</v>
      </c>
      <c r="B402" t="s">
        <v>1027</v>
      </c>
      <c r="C402" t="s">
        <v>273</v>
      </c>
      <c r="D402">
        <v>200.072</v>
      </c>
    </row>
    <row r="403" spans="1:4" x14ac:dyDescent="0.3">
      <c r="A403" t="s">
        <v>1028</v>
      </c>
      <c r="B403" t="s">
        <v>1586</v>
      </c>
      <c r="C403" t="s">
        <v>318</v>
      </c>
      <c r="D403">
        <v>490.947</v>
      </c>
    </row>
    <row r="404" spans="1:4" x14ac:dyDescent="0.3">
      <c r="A404" t="s">
        <v>1625</v>
      </c>
      <c r="B404" t="s">
        <v>1626</v>
      </c>
      <c r="C404" t="s">
        <v>318</v>
      </c>
      <c r="D404">
        <v>507.06599999999997</v>
      </c>
    </row>
    <row r="405" spans="1:4" x14ac:dyDescent="0.3">
      <c r="A405" t="s">
        <v>1033</v>
      </c>
      <c r="B405" t="s">
        <v>1955</v>
      </c>
      <c r="C405" t="s">
        <v>1035</v>
      </c>
      <c r="D405">
        <v>73.043999999999997</v>
      </c>
    </row>
    <row r="406" spans="1:4" x14ac:dyDescent="0.3">
      <c r="A406" t="s">
        <v>1036</v>
      </c>
      <c r="B406" t="s">
        <v>1037</v>
      </c>
      <c r="C406" t="s">
        <v>1035</v>
      </c>
      <c r="D406">
        <v>129.16200000000001</v>
      </c>
    </row>
    <row r="407" spans="1:4" x14ac:dyDescent="0.3">
      <c r="A407" t="s">
        <v>1587</v>
      </c>
      <c r="B407" t="s">
        <v>1588</v>
      </c>
      <c r="C407" t="s">
        <v>1589</v>
      </c>
      <c r="D407">
        <v>134.952</v>
      </c>
    </row>
    <row r="408" spans="1:4" x14ac:dyDescent="0.3">
      <c r="A408" t="s">
        <v>1038</v>
      </c>
      <c r="B408" t="s">
        <v>1039</v>
      </c>
      <c r="C408" t="s">
        <v>198</v>
      </c>
      <c r="D408">
        <v>10.885</v>
      </c>
    </row>
    <row r="409" spans="1:4" x14ac:dyDescent="0.3">
      <c r="A409" t="s">
        <v>1590</v>
      </c>
      <c r="B409" t="s">
        <v>1591</v>
      </c>
      <c r="C409" t="s">
        <v>1589</v>
      </c>
      <c r="D409">
        <v>790.58299999999997</v>
      </c>
    </row>
    <row r="410" spans="1:4" x14ac:dyDescent="0.3">
      <c r="A410" t="s">
        <v>1040</v>
      </c>
      <c r="B410" t="s">
        <v>1041</v>
      </c>
      <c r="C410" t="s">
        <v>1042</v>
      </c>
      <c r="D410">
        <v>3.25</v>
      </c>
    </row>
    <row r="411" spans="1:4" x14ac:dyDescent="0.3">
      <c r="A411" t="s">
        <v>1043</v>
      </c>
      <c r="B411" t="s">
        <v>1044</v>
      </c>
      <c r="C411" t="s">
        <v>1045</v>
      </c>
      <c r="D411">
        <v>211.607</v>
      </c>
    </row>
    <row r="412" spans="1:4" x14ac:dyDescent="0.3">
      <c r="A412" t="s">
        <v>1627</v>
      </c>
      <c r="B412" t="s">
        <v>1628</v>
      </c>
      <c r="C412" t="s">
        <v>762</v>
      </c>
      <c r="D412">
        <v>29.977</v>
      </c>
    </row>
    <row r="413" spans="1:4" x14ac:dyDescent="0.3">
      <c r="A413" t="s">
        <v>1046</v>
      </c>
      <c r="B413" t="s">
        <v>1047</v>
      </c>
      <c r="C413" t="s">
        <v>199</v>
      </c>
      <c r="D413">
        <v>1.6080000000000001</v>
      </c>
    </row>
    <row r="414" spans="1:4" x14ac:dyDescent="0.3">
      <c r="A414" t="s">
        <v>1958</v>
      </c>
      <c r="B414" t="s">
        <v>1959</v>
      </c>
      <c r="C414" t="s">
        <v>452</v>
      </c>
      <c r="D414">
        <v>206.262</v>
      </c>
    </row>
    <row r="415" spans="1:4" x14ac:dyDescent="0.3">
      <c r="A415" t="s">
        <v>1986</v>
      </c>
      <c r="B415" t="s">
        <v>1987</v>
      </c>
      <c r="C415" t="s">
        <v>834</v>
      </c>
      <c r="D415">
        <v>10.56</v>
      </c>
    </row>
    <row r="416" spans="1:4" x14ac:dyDescent="0.3">
      <c r="A416" t="s">
        <v>1048</v>
      </c>
      <c r="B416" t="s">
        <v>1049</v>
      </c>
      <c r="C416" t="s">
        <v>209</v>
      </c>
      <c r="D416">
        <v>3.7109999999999999</v>
      </c>
    </row>
    <row r="417" spans="1:4" x14ac:dyDescent="0.3">
      <c r="A417" t="s">
        <v>1050</v>
      </c>
      <c r="B417" t="s">
        <v>1051</v>
      </c>
      <c r="C417" t="s">
        <v>257</v>
      </c>
      <c r="D417">
        <v>2.1280000000000001</v>
      </c>
    </row>
    <row r="418" spans="1:4" x14ac:dyDescent="0.3">
      <c r="A418" t="s">
        <v>1052</v>
      </c>
      <c r="B418" t="s">
        <v>1053</v>
      </c>
      <c r="C418" t="s">
        <v>458</v>
      </c>
      <c r="D418">
        <v>1.4690000000000001</v>
      </c>
    </row>
    <row r="419" spans="1:4" x14ac:dyDescent="0.3">
      <c r="A419" t="s">
        <v>1054</v>
      </c>
      <c r="B419" t="s">
        <v>1055</v>
      </c>
      <c r="C419" t="s">
        <v>295</v>
      </c>
      <c r="D419">
        <v>2362.2710000000002</v>
      </c>
    </row>
    <row r="420" spans="1:4" x14ac:dyDescent="0.3">
      <c r="A420" t="s">
        <v>1056</v>
      </c>
      <c r="B420" t="s">
        <v>1057</v>
      </c>
      <c r="C420" t="s">
        <v>198</v>
      </c>
      <c r="D420">
        <v>0.52</v>
      </c>
    </row>
    <row r="421" spans="1:4" x14ac:dyDescent="0.3">
      <c r="A421" t="s">
        <v>1058</v>
      </c>
      <c r="B421" t="s">
        <v>1059</v>
      </c>
      <c r="C421" t="s">
        <v>273</v>
      </c>
      <c r="D421">
        <v>0.49099999999999999</v>
      </c>
    </row>
    <row r="422" spans="1:4" x14ac:dyDescent="0.3">
      <c r="A422" t="s">
        <v>1060</v>
      </c>
      <c r="B422" t="s">
        <v>1061</v>
      </c>
      <c r="C422" t="s">
        <v>513</v>
      </c>
      <c r="D422">
        <v>0.27300000000000002</v>
      </c>
    </row>
    <row r="423" spans="1:4" x14ac:dyDescent="0.3">
      <c r="A423" t="s">
        <v>1062</v>
      </c>
      <c r="B423" t="s">
        <v>1063</v>
      </c>
      <c r="C423" t="s">
        <v>200</v>
      </c>
      <c r="D423">
        <v>0.12</v>
      </c>
    </row>
    <row r="424" spans="1:4" x14ac:dyDescent="0.3">
      <c r="A424" t="s">
        <v>1064</v>
      </c>
      <c r="B424" t="s">
        <v>1065</v>
      </c>
      <c r="C424" t="s">
        <v>553</v>
      </c>
      <c r="D424">
        <v>845.55399999999997</v>
      </c>
    </row>
    <row r="425" spans="1:4" x14ac:dyDescent="0.3">
      <c r="A425" t="s">
        <v>1066</v>
      </c>
      <c r="B425" t="s">
        <v>1067</v>
      </c>
      <c r="C425" t="s">
        <v>198</v>
      </c>
      <c r="D425">
        <v>1.4E-2</v>
      </c>
    </row>
    <row r="426" spans="1:4" x14ac:dyDescent="0.3">
      <c r="A426" t="s">
        <v>1068</v>
      </c>
      <c r="B426" t="s">
        <v>1069</v>
      </c>
      <c r="C426" t="s">
        <v>553</v>
      </c>
      <c r="D426">
        <v>0.57699999999999996</v>
      </c>
    </row>
    <row r="427" spans="1:4" x14ac:dyDescent="0.3">
      <c r="A427" t="s">
        <v>1070</v>
      </c>
      <c r="B427" t="s">
        <v>1071</v>
      </c>
      <c r="C427" t="s">
        <v>295</v>
      </c>
      <c r="D427">
        <v>62.634999999999998</v>
      </c>
    </row>
    <row r="428" spans="1:4" x14ac:dyDescent="0.3">
      <c r="A428" t="s">
        <v>1072</v>
      </c>
      <c r="B428" t="s">
        <v>1073</v>
      </c>
      <c r="C428" t="s">
        <v>295</v>
      </c>
      <c r="D428">
        <v>0.374</v>
      </c>
    </row>
    <row r="429" spans="1:4" x14ac:dyDescent="0.3">
      <c r="A429" t="s">
        <v>1074</v>
      </c>
      <c r="B429" t="s">
        <v>1075</v>
      </c>
      <c r="C429" t="s">
        <v>1076</v>
      </c>
      <c r="D429">
        <v>1.4690000000000001</v>
      </c>
    </row>
    <row r="430" spans="1:4" x14ac:dyDescent="0.3">
      <c r="A430" t="s">
        <v>1077</v>
      </c>
      <c r="B430" t="s">
        <v>1078</v>
      </c>
      <c r="C430" t="s">
        <v>198</v>
      </c>
      <c r="D430">
        <v>5.5730000000000004</v>
      </c>
    </row>
    <row r="431" spans="1:4" x14ac:dyDescent="0.3">
      <c r="A431" t="s">
        <v>1079</v>
      </c>
      <c r="B431" t="s">
        <v>1080</v>
      </c>
      <c r="C431" t="s">
        <v>200</v>
      </c>
      <c r="D431">
        <v>215.744</v>
      </c>
    </row>
    <row r="432" spans="1:4" x14ac:dyDescent="0.3">
      <c r="A432" t="s">
        <v>1081</v>
      </c>
      <c r="B432" t="s">
        <v>1082</v>
      </c>
      <c r="C432" t="s">
        <v>458</v>
      </c>
      <c r="D432">
        <v>5.9329999999999998</v>
      </c>
    </row>
    <row r="433" spans="1:4" x14ac:dyDescent="0.3">
      <c r="A433" t="s">
        <v>1083</v>
      </c>
      <c r="B433" t="s">
        <v>1084</v>
      </c>
      <c r="C433" t="s">
        <v>1085</v>
      </c>
      <c r="D433">
        <v>11.282999999999999</v>
      </c>
    </row>
    <row r="434" spans="1:4" x14ac:dyDescent="0.3">
      <c r="A434" t="s">
        <v>1086</v>
      </c>
      <c r="B434" t="s">
        <v>1087</v>
      </c>
      <c r="C434" t="s">
        <v>239</v>
      </c>
      <c r="D434">
        <v>11.614000000000001</v>
      </c>
    </row>
    <row r="435" spans="1:4" x14ac:dyDescent="0.3">
      <c r="A435" t="s">
        <v>1088</v>
      </c>
      <c r="B435" t="s">
        <v>1089</v>
      </c>
      <c r="C435" t="s">
        <v>405</v>
      </c>
      <c r="D435">
        <v>5.7759999999999998</v>
      </c>
    </row>
    <row r="436" spans="1:4" x14ac:dyDescent="0.3">
      <c r="A436" t="s">
        <v>1090</v>
      </c>
      <c r="B436" t="s">
        <v>1091</v>
      </c>
      <c r="C436" t="s">
        <v>198</v>
      </c>
      <c r="D436">
        <v>0.26100000000000001</v>
      </c>
    </row>
    <row r="437" spans="1:4" x14ac:dyDescent="0.3">
      <c r="A437" t="s">
        <v>1092</v>
      </c>
      <c r="B437" t="s">
        <v>1093</v>
      </c>
      <c r="C437" t="s">
        <v>396</v>
      </c>
      <c r="D437">
        <v>0.29399999999999998</v>
      </c>
    </row>
    <row r="438" spans="1:4" x14ac:dyDescent="0.3">
      <c r="A438" t="s">
        <v>1094</v>
      </c>
      <c r="B438" t="s">
        <v>1095</v>
      </c>
      <c r="C438" t="s">
        <v>198</v>
      </c>
      <c r="D438">
        <v>4.2999999999999997E-2</v>
      </c>
    </row>
    <row r="439" spans="1:4" x14ac:dyDescent="0.3">
      <c r="A439" t="s">
        <v>1096</v>
      </c>
      <c r="B439" t="s">
        <v>1097</v>
      </c>
      <c r="C439" t="s">
        <v>396</v>
      </c>
      <c r="D439">
        <v>5.7000000000000002E-2</v>
      </c>
    </row>
    <row r="440" spans="1:4" x14ac:dyDescent="0.3">
      <c r="A440" t="s">
        <v>1098</v>
      </c>
      <c r="B440" t="s">
        <v>1099</v>
      </c>
      <c r="C440" t="s">
        <v>1100</v>
      </c>
      <c r="D440">
        <v>0.11700000000000001</v>
      </c>
    </row>
    <row r="441" spans="1:4" x14ac:dyDescent="0.3">
      <c r="A441" t="s">
        <v>1101</v>
      </c>
      <c r="B441" t="s">
        <v>1102</v>
      </c>
      <c r="C441" t="s">
        <v>396</v>
      </c>
      <c r="D441">
        <v>1.335</v>
      </c>
    </row>
    <row r="442" spans="1:4" x14ac:dyDescent="0.3">
      <c r="A442" t="s">
        <v>1103</v>
      </c>
      <c r="B442" t="s">
        <v>1104</v>
      </c>
      <c r="C442" t="s">
        <v>199</v>
      </c>
      <c r="D442">
        <v>2.5790000000000002</v>
      </c>
    </row>
    <row r="443" spans="1:4" x14ac:dyDescent="0.3">
      <c r="A443" t="s">
        <v>1105</v>
      </c>
      <c r="B443" t="s">
        <v>1106</v>
      </c>
      <c r="C443" t="s">
        <v>198</v>
      </c>
      <c r="D443">
        <v>47.790999999999997</v>
      </c>
    </row>
    <row r="444" spans="1:4" x14ac:dyDescent="0.3">
      <c r="A444" t="s">
        <v>1107</v>
      </c>
      <c r="B444" t="s">
        <v>1108</v>
      </c>
      <c r="C444" t="s">
        <v>198</v>
      </c>
      <c r="D444">
        <v>0.19900000000000001</v>
      </c>
    </row>
    <row r="445" spans="1:4" x14ac:dyDescent="0.3">
      <c r="A445" t="s">
        <v>1109</v>
      </c>
      <c r="B445" t="s">
        <v>1110</v>
      </c>
      <c r="C445" t="s">
        <v>198</v>
      </c>
      <c r="D445">
        <v>0.80700000000000005</v>
      </c>
    </row>
    <row r="446" spans="1:4" x14ac:dyDescent="0.3">
      <c r="A446" t="s">
        <v>1629</v>
      </c>
      <c r="B446" t="s">
        <v>1630</v>
      </c>
      <c r="C446" t="s">
        <v>452</v>
      </c>
      <c r="D446">
        <v>0.191</v>
      </c>
    </row>
    <row r="447" spans="1:4" x14ac:dyDescent="0.3">
      <c r="A447" t="s">
        <v>1111</v>
      </c>
      <c r="B447" t="s">
        <v>1112</v>
      </c>
      <c r="C447" t="s">
        <v>683</v>
      </c>
      <c r="D447">
        <v>34.744</v>
      </c>
    </row>
    <row r="448" spans="1:4" x14ac:dyDescent="0.3">
      <c r="A448" t="s">
        <v>1113</v>
      </c>
      <c r="B448" t="s">
        <v>1114</v>
      </c>
      <c r="C448" t="s">
        <v>1115</v>
      </c>
      <c r="D448">
        <v>670.89800000000002</v>
      </c>
    </row>
    <row r="449" spans="1:4" x14ac:dyDescent="0.3">
      <c r="A449" t="s">
        <v>1116</v>
      </c>
      <c r="B449" t="s">
        <v>1117</v>
      </c>
      <c r="C449" t="s">
        <v>200</v>
      </c>
      <c r="D449">
        <v>4.194</v>
      </c>
    </row>
    <row r="450" spans="1:4" x14ac:dyDescent="0.3">
      <c r="A450" t="s">
        <v>1120</v>
      </c>
      <c r="B450" t="s">
        <v>1121</v>
      </c>
      <c r="C450" t="s">
        <v>445</v>
      </c>
      <c r="D450">
        <v>0.89</v>
      </c>
    </row>
    <row r="451" spans="1:4" x14ac:dyDescent="0.3">
      <c r="A451" t="s">
        <v>1122</v>
      </c>
      <c r="B451" t="s">
        <v>1123</v>
      </c>
      <c r="C451" t="s">
        <v>284</v>
      </c>
      <c r="D451">
        <v>2.734</v>
      </c>
    </row>
    <row r="452" spans="1:4" x14ac:dyDescent="0.3">
      <c r="A452" t="s">
        <v>1124</v>
      </c>
      <c r="B452" t="s">
        <v>1125</v>
      </c>
      <c r="C452" t="s">
        <v>553</v>
      </c>
      <c r="D452">
        <v>1.143</v>
      </c>
    </row>
    <row r="453" spans="1:4" x14ac:dyDescent="0.3">
      <c r="A453" t="s">
        <v>1126</v>
      </c>
      <c r="B453" t="s">
        <v>1127</v>
      </c>
      <c r="C453" t="s">
        <v>458</v>
      </c>
      <c r="D453">
        <v>4.8000000000000001E-2</v>
      </c>
    </row>
    <row r="454" spans="1:4" x14ac:dyDescent="0.3">
      <c r="A454" t="s">
        <v>1128</v>
      </c>
      <c r="B454" t="s">
        <v>1129</v>
      </c>
      <c r="C454" t="s">
        <v>209</v>
      </c>
      <c r="D454">
        <v>75.733999999999995</v>
      </c>
    </row>
    <row r="455" spans="1:4" x14ac:dyDescent="0.3">
      <c r="A455" t="s">
        <v>1132</v>
      </c>
      <c r="B455" t="s">
        <v>1133</v>
      </c>
      <c r="C455" t="s">
        <v>1134</v>
      </c>
      <c r="D455">
        <v>0.373</v>
      </c>
    </row>
    <row r="456" spans="1:4" x14ac:dyDescent="0.3">
      <c r="A456" t="s">
        <v>1135</v>
      </c>
      <c r="B456" t="s">
        <v>1136</v>
      </c>
      <c r="C456" t="s">
        <v>396</v>
      </c>
      <c r="D456">
        <v>316.42</v>
      </c>
    </row>
    <row r="457" spans="1:4" x14ac:dyDescent="0.3">
      <c r="A457" t="s">
        <v>1137</v>
      </c>
      <c r="B457" t="s">
        <v>1138</v>
      </c>
      <c r="C457" t="s">
        <v>198</v>
      </c>
      <c r="D457">
        <v>1.748</v>
      </c>
    </row>
    <row r="458" spans="1:4" x14ac:dyDescent="0.3">
      <c r="A458" t="s">
        <v>1139</v>
      </c>
      <c r="B458" t="s">
        <v>1140</v>
      </c>
      <c r="C458" t="s">
        <v>200</v>
      </c>
      <c r="D458">
        <v>0.45200000000000001</v>
      </c>
    </row>
    <row r="459" spans="1:4" x14ac:dyDescent="0.3">
      <c r="A459" t="s">
        <v>1141</v>
      </c>
      <c r="B459" t="s">
        <v>1142</v>
      </c>
      <c r="C459" t="s">
        <v>1143</v>
      </c>
      <c r="D459">
        <v>104.24</v>
      </c>
    </row>
    <row r="460" spans="1:4" x14ac:dyDescent="0.3">
      <c r="A460" t="s">
        <v>1144</v>
      </c>
      <c r="B460" t="s">
        <v>1145</v>
      </c>
      <c r="C460" t="s">
        <v>199</v>
      </c>
      <c r="D460">
        <v>2.5659999999999998</v>
      </c>
    </row>
    <row r="461" spans="1:4" x14ac:dyDescent="0.3">
      <c r="A461" t="s">
        <v>1146</v>
      </c>
      <c r="B461" t="s">
        <v>1147</v>
      </c>
      <c r="C461" t="s">
        <v>198</v>
      </c>
      <c r="D461">
        <v>18.431000000000001</v>
      </c>
    </row>
    <row r="462" spans="1:4" x14ac:dyDescent="0.3">
      <c r="A462" t="s">
        <v>1148</v>
      </c>
      <c r="B462" t="s">
        <v>1149</v>
      </c>
      <c r="C462" t="s">
        <v>1150</v>
      </c>
      <c r="D462">
        <v>427.26900000000001</v>
      </c>
    </row>
    <row r="463" spans="1:4" x14ac:dyDescent="0.3">
      <c r="A463" t="s">
        <v>1151</v>
      </c>
      <c r="B463" t="s">
        <v>1152</v>
      </c>
      <c r="C463" t="s">
        <v>199</v>
      </c>
      <c r="D463">
        <v>79.787000000000006</v>
      </c>
    </row>
    <row r="464" spans="1:4" x14ac:dyDescent="0.3">
      <c r="A464" t="s">
        <v>1153</v>
      </c>
      <c r="B464" t="s">
        <v>1154</v>
      </c>
      <c r="C464" t="s">
        <v>199</v>
      </c>
      <c r="D464">
        <v>85.997</v>
      </c>
    </row>
    <row r="465" spans="1:4" x14ac:dyDescent="0.3">
      <c r="A465" t="s">
        <v>1155</v>
      </c>
      <c r="B465" t="s">
        <v>1156</v>
      </c>
      <c r="C465" t="s">
        <v>198</v>
      </c>
      <c r="D465">
        <v>1.2110000000000001</v>
      </c>
    </row>
    <row r="466" spans="1:4" x14ac:dyDescent="0.3">
      <c r="A466" t="s">
        <v>1157</v>
      </c>
      <c r="B466" t="s">
        <v>1158</v>
      </c>
      <c r="C466" t="s">
        <v>198</v>
      </c>
      <c r="D466">
        <v>64.941999999999993</v>
      </c>
    </row>
    <row r="467" spans="1:4" x14ac:dyDescent="0.3">
      <c r="A467" t="s">
        <v>1159</v>
      </c>
      <c r="B467" t="s">
        <v>1160</v>
      </c>
      <c r="C467" t="s">
        <v>198</v>
      </c>
      <c r="D467">
        <v>2.85</v>
      </c>
    </row>
    <row r="468" spans="1:4" x14ac:dyDescent="0.3">
      <c r="A468" t="s">
        <v>1161</v>
      </c>
      <c r="B468" t="s">
        <v>1162</v>
      </c>
      <c r="C468" t="s">
        <v>199</v>
      </c>
      <c r="D468">
        <v>42.226999999999997</v>
      </c>
    </row>
    <row r="469" spans="1:4" x14ac:dyDescent="0.3">
      <c r="A469" t="s">
        <v>1163</v>
      </c>
      <c r="B469" t="s">
        <v>1164</v>
      </c>
      <c r="C469" t="s">
        <v>198</v>
      </c>
      <c r="D469">
        <v>23.797000000000001</v>
      </c>
    </row>
    <row r="470" spans="1:4" x14ac:dyDescent="0.3">
      <c r="A470" t="s">
        <v>1165</v>
      </c>
      <c r="B470" t="s">
        <v>1166</v>
      </c>
      <c r="C470" t="s">
        <v>198</v>
      </c>
      <c r="D470">
        <v>19.645</v>
      </c>
    </row>
    <row r="471" spans="1:4" x14ac:dyDescent="0.3">
      <c r="A471" t="s">
        <v>1167</v>
      </c>
      <c r="B471" t="s">
        <v>1168</v>
      </c>
      <c r="C471" t="s">
        <v>199</v>
      </c>
      <c r="D471">
        <v>70.594999999999999</v>
      </c>
    </row>
    <row r="472" spans="1:4" x14ac:dyDescent="0.3">
      <c r="A472" t="s">
        <v>1169</v>
      </c>
      <c r="B472" t="s">
        <v>1170</v>
      </c>
      <c r="C472" t="s">
        <v>198</v>
      </c>
      <c r="D472">
        <v>21.259</v>
      </c>
    </row>
    <row r="473" spans="1:4" x14ac:dyDescent="0.3">
      <c r="A473" t="s">
        <v>1988</v>
      </c>
      <c r="B473" t="s">
        <v>1989</v>
      </c>
      <c r="C473" t="s">
        <v>396</v>
      </c>
      <c r="D473">
        <v>42.908999999999999</v>
      </c>
    </row>
    <row r="474" spans="1:4" x14ac:dyDescent="0.3">
      <c r="A474" t="s">
        <v>1171</v>
      </c>
      <c r="B474" t="s">
        <v>1172</v>
      </c>
      <c r="C474" t="s">
        <v>452</v>
      </c>
      <c r="D474">
        <v>122.273</v>
      </c>
    </row>
    <row r="475" spans="1:4" x14ac:dyDescent="0.3">
      <c r="A475" t="s">
        <v>1173</v>
      </c>
      <c r="B475" t="s">
        <v>1174</v>
      </c>
      <c r="C475" t="s">
        <v>1175</v>
      </c>
      <c r="D475">
        <v>29.468</v>
      </c>
    </row>
    <row r="476" spans="1:4" x14ac:dyDescent="0.3">
      <c r="A476" t="s">
        <v>1176</v>
      </c>
      <c r="B476" t="s">
        <v>1177</v>
      </c>
      <c r="C476" t="s">
        <v>273</v>
      </c>
      <c r="D476">
        <v>44.688000000000002</v>
      </c>
    </row>
    <row r="477" spans="1:4" x14ac:dyDescent="0.3">
      <c r="A477" t="s">
        <v>1178</v>
      </c>
      <c r="B477" t="s">
        <v>1179</v>
      </c>
      <c r="C477" t="s">
        <v>198</v>
      </c>
      <c r="D477">
        <v>189.16399999999999</v>
      </c>
    </row>
    <row r="478" spans="1:4" x14ac:dyDescent="0.3">
      <c r="A478" t="s">
        <v>1180</v>
      </c>
      <c r="B478" t="s">
        <v>1181</v>
      </c>
      <c r="C478" t="s">
        <v>198</v>
      </c>
      <c r="D478">
        <v>190.22200000000001</v>
      </c>
    </row>
    <row r="479" spans="1:4" x14ac:dyDescent="0.3">
      <c r="A479" t="s">
        <v>1182</v>
      </c>
      <c r="B479" t="s">
        <v>1183</v>
      </c>
      <c r="C479" t="s">
        <v>273</v>
      </c>
      <c r="D479">
        <v>19.303000000000001</v>
      </c>
    </row>
    <row r="480" spans="1:4" x14ac:dyDescent="0.3">
      <c r="A480" t="s">
        <v>1184</v>
      </c>
      <c r="B480" t="s">
        <v>1185</v>
      </c>
      <c r="C480" t="s">
        <v>209</v>
      </c>
      <c r="D480">
        <v>2.4790000000000001</v>
      </c>
    </row>
    <row r="481" spans="1:4" x14ac:dyDescent="0.3">
      <c r="A481" t="s">
        <v>1186</v>
      </c>
      <c r="B481" t="s">
        <v>1187</v>
      </c>
      <c r="C481" t="s">
        <v>198</v>
      </c>
      <c r="D481">
        <v>40.481999999999999</v>
      </c>
    </row>
    <row r="482" spans="1:4" x14ac:dyDescent="0.3">
      <c r="A482" t="s">
        <v>1188</v>
      </c>
      <c r="B482" t="s">
        <v>1189</v>
      </c>
      <c r="C482" t="s">
        <v>257</v>
      </c>
      <c r="D482">
        <v>1722.0229999999999</v>
      </c>
    </row>
    <row r="483" spans="1:4" x14ac:dyDescent="0.3">
      <c r="A483" t="s">
        <v>1190</v>
      </c>
      <c r="B483" t="s">
        <v>1191</v>
      </c>
      <c r="C483" t="s">
        <v>199</v>
      </c>
      <c r="D483">
        <v>66.311999999999998</v>
      </c>
    </row>
    <row r="484" spans="1:4" x14ac:dyDescent="0.3">
      <c r="A484" t="s">
        <v>1192</v>
      </c>
      <c r="B484" t="s">
        <v>1193</v>
      </c>
      <c r="C484" t="s">
        <v>199</v>
      </c>
      <c r="D484">
        <v>1.835</v>
      </c>
    </row>
    <row r="485" spans="1:4" x14ac:dyDescent="0.3">
      <c r="A485" t="s">
        <v>1194</v>
      </c>
      <c r="B485" t="s">
        <v>1195</v>
      </c>
      <c r="C485" t="s">
        <v>198</v>
      </c>
      <c r="D485">
        <v>18.678999999999998</v>
      </c>
    </row>
    <row r="486" spans="1:4" x14ac:dyDescent="0.3">
      <c r="A486" t="s">
        <v>1196</v>
      </c>
      <c r="B486" t="s">
        <v>1197</v>
      </c>
      <c r="C486" t="s">
        <v>257</v>
      </c>
      <c r="D486">
        <v>30.997</v>
      </c>
    </row>
    <row r="487" spans="1:4" x14ac:dyDescent="0.3">
      <c r="A487" t="s">
        <v>1198</v>
      </c>
      <c r="B487" t="s">
        <v>1199</v>
      </c>
      <c r="C487" t="s">
        <v>257</v>
      </c>
      <c r="D487">
        <v>0.68500000000000005</v>
      </c>
    </row>
    <row r="488" spans="1:4" x14ac:dyDescent="0.3">
      <c r="A488" t="s">
        <v>1592</v>
      </c>
      <c r="B488" t="s">
        <v>1593</v>
      </c>
      <c r="C488" t="s">
        <v>198</v>
      </c>
      <c r="D488">
        <v>27.577000000000002</v>
      </c>
    </row>
    <row r="489" spans="1:4" x14ac:dyDescent="0.3">
      <c r="A489" t="s">
        <v>1200</v>
      </c>
      <c r="B489" t="s">
        <v>1201</v>
      </c>
      <c r="C489" t="s">
        <v>396</v>
      </c>
      <c r="D489">
        <v>942.71699999999998</v>
      </c>
    </row>
    <row r="490" spans="1:4" x14ac:dyDescent="0.3">
      <c r="A490" t="s">
        <v>1202</v>
      </c>
      <c r="B490" t="s">
        <v>1203</v>
      </c>
      <c r="C490" t="s">
        <v>257</v>
      </c>
      <c r="D490">
        <v>4.3010000000000002</v>
      </c>
    </row>
    <row r="491" spans="1:4" x14ac:dyDescent="0.3">
      <c r="A491" t="s">
        <v>1960</v>
      </c>
      <c r="B491" t="s">
        <v>1961</v>
      </c>
      <c r="C491" t="s">
        <v>199</v>
      </c>
      <c r="D491">
        <v>45.137999999999998</v>
      </c>
    </row>
    <row r="492" spans="1:4" x14ac:dyDescent="0.3">
      <c r="A492" t="s">
        <v>1204</v>
      </c>
      <c r="B492" t="s">
        <v>1205</v>
      </c>
      <c r="C492" t="s">
        <v>199</v>
      </c>
      <c r="D492">
        <v>57.636000000000003</v>
      </c>
    </row>
    <row r="493" spans="1:4" x14ac:dyDescent="0.3">
      <c r="A493" t="s">
        <v>1206</v>
      </c>
      <c r="B493" t="s">
        <v>1207</v>
      </c>
      <c r="C493" t="s">
        <v>199</v>
      </c>
      <c r="D493">
        <v>45.241999999999997</v>
      </c>
    </row>
    <row r="494" spans="1:4" x14ac:dyDescent="0.3">
      <c r="A494" t="s">
        <v>1208</v>
      </c>
      <c r="B494" t="s">
        <v>1209</v>
      </c>
      <c r="C494" t="s">
        <v>1210</v>
      </c>
      <c r="D494">
        <v>202.809</v>
      </c>
    </row>
    <row r="495" spans="1:4" x14ac:dyDescent="0.3">
      <c r="A495" t="s">
        <v>1211</v>
      </c>
      <c r="B495" t="s">
        <v>1212</v>
      </c>
      <c r="C495" t="s">
        <v>198</v>
      </c>
      <c r="D495">
        <v>3.9830000000000001</v>
      </c>
    </row>
    <row r="496" spans="1:4" x14ac:dyDescent="0.3">
      <c r="A496" t="s">
        <v>192</v>
      </c>
      <c r="B496" t="s">
        <v>1213</v>
      </c>
      <c r="C496" t="s">
        <v>198</v>
      </c>
      <c r="D496">
        <v>0.53700000000000003</v>
      </c>
    </row>
    <row r="497" spans="1:4" x14ac:dyDescent="0.3">
      <c r="A497" t="s">
        <v>1214</v>
      </c>
      <c r="B497" t="s">
        <v>1215</v>
      </c>
      <c r="C497" t="s">
        <v>199</v>
      </c>
      <c r="D497">
        <v>76.756</v>
      </c>
    </row>
    <row r="498" spans="1:4" x14ac:dyDescent="0.3">
      <c r="A498" t="s">
        <v>1216</v>
      </c>
      <c r="B498" t="s">
        <v>1217</v>
      </c>
      <c r="C498" t="s">
        <v>198</v>
      </c>
      <c r="D498">
        <v>6.7720000000000002</v>
      </c>
    </row>
    <row r="499" spans="1:4" x14ac:dyDescent="0.3">
      <c r="A499" t="s">
        <v>1631</v>
      </c>
      <c r="B499" t="s">
        <v>1632</v>
      </c>
      <c r="C499" t="s">
        <v>458</v>
      </c>
      <c r="D499">
        <v>29.062999999999999</v>
      </c>
    </row>
    <row r="500" spans="1:4" x14ac:dyDescent="0.3">
      <c r="A500" t="s">
        <v>195</v>
      </c>
      <c r="B500" t="s">
        <v>1218</v>
      </c>
      <c r="C500" t="s">
        <v>688</v>
      </c>
      <c r="D500">
        <v>1.6679999999999999</v>
      </c>
    </row>
    <row r="501" spans="1:4" x14ac:dyDescent="0.3">
      <c r="A501" t="s">
        <v>1219</v>
      </c>
      <c r="B501" t="s">
        <v>1220</v>
      </c>
      <c r="C501" t="s">
        <v>273</v>
      </c>
      <c r="D501">
        <v>121.28700000000001</v>
      </c>
    </row>
    <row r="502" spans="1:4" x14ac:dyDescent="0.3">
      <c r="A502" t="s">
        <v>1221</v>
      </c>
      <c r="B502" t="s">
        <v>1222</v>
      </c>
      <c r="C502" t="s">
        <v>199</v>
      </c>
      <c r="D502">
        <v>0.71099999999999997</v>
      </c>
    </row>
    <row r="503" spans="1:4" x14ac:dyDescent="0.3">
      <c r="A503" t="s">
        <v>1223</v>
      </c>
      <c r="B503" t="s">
        <v>1224</v>
      </c>
      <c r="C503" t="s">
        <v>209</v>
      </c>
      <c r="D503">
        <v>94.5</v>
      </c>
    </row>
    <row r="504" spans="1:4" x14ac:dyDescent="0.3">
      <c r="A504" t="s">
        <v>1225</v>
      </c>
      <c r="B504" t="s">
        <v>1226</v>
      </c>
      <c r="C504" t="s">
        <v>284</v>
      </c>
      <c r="D504">
        <v>1.5609999999999999</v>
      </c>
    </row>
    <row r="505" spans="1:4" x14ac:dyDescent="0.3">
      <c r="A505" t="s">
        <v>1990</v>
      </c>
      <c r="B505" t="s">
        <v>1991</v>
      </c>
      <c r="C505" t="s">
        <v>257</v>
      </c>
      <c r="D505">
        <v>34.156999999999996</v>
      </c>
    </row>
    <row r="506" spans="1:4" x14ac:dyDescent="0.3">
      <c r="A506" t="s">
        <v>1227</v>
      </c>
      <c r="B506" t="s">
        <v>1228</v>
      </c>
      <c r="C506" t="s">
        <v>284</v>
      </c>
      <c r="D506">
        <v>59.107999999999997</v>
      </c>
    </row>
    <row r="507" spans="1:4" x14ac:dyDescent="0.3">
      <c r="A507" t="s">
        <v>1229</v>
      </c>
      <c r="B507" t="s">
        <v>1594</v>
      </c>
      <c r="C507" t="s">
        <v>442</v>
      </c>
      <c r="D507">
        <v>3.9750000000000001</v>
      </c>
    </row>
    <row r="508" spans="1:4" x14ac:dyDescent="0.3">
      <c r="A508" t="s">
        <v>1231</v>
      </c>
      <c r="B508" t="s">
        <v>1232</v>
      </c>
      <c r="C508" t="s">
        <v>1233</v>
      </c>
      <c r="D508">
        <v>531.62599999999998</v>
      </c>
    </row>
    <row r="509" spans="1:4" x14ac:dyDescent="0.3">
      <c r="A509" t="s">
        <v>1529</v>
      </c>
      <c r="B509" t="s">
        <v>1595</v>
      </c>
      <c r="C509" t="s">
        <v>273</v>
      </c>
      <c r="D509">
        <v>207.99199999999999</v>
      </c>
    </row>
    <row r="510" spans="1:4" x14ac:dyDescent="0.3">
      <c r="A510" t="s">
        <v>1596</v>
      </c>
      <c r="B510" t="s">
        <v>1597</v>
      </c>
      <c r="C510" t="s">
        <v>198</v>
      </c>
      <c r="D510">
        <v>210.04499999999999</v>
      </c>
    </row>
    <row r="511" spans="1:4" x14ac:dyDescent="0.3">
      <c r="A511" t="s">
        <v>1234</v>
      </c>
      <c r="B511" t="s">
        <v>1235</v>
      </c>
      <c r="C511" t="s">
        <v>198</v>
      </c>
      <c r="D511">
        <v>56.604999999999997</v>
      </c>
    </row>
    <row r="512" spans="1:4" x14ac:dyDescent="0.3">
      <c r="A512" t="s">
        <v>1236</v>
      </c>
      <c r="B512" t="s">
        <v>1237</v>
      </c>
      <c r="C512" t="s">
        <v>311</v>
      </c>
      <c r="D512">
        <v>2.4929999999999999</v>
      </c>
    </row>
    <row r="513" spans="1:4" x14ac:dyDescent="0.3">
      <c r="A513" t="s">
        <v>1238</v>
      </c>
      <c r="B513" t="s">
        <v>1239</v>
      </c>
      <c r="C513" t="s">
        <v>198</v>
      </c>
      <c r="D513">
        <v>112.086</v>
      </c>
    </row>
    <row r="514" spans="1:4" x14ac:dyDescent="0.3">
      <c r="A514" t="s">
        <v>1240</v>
      </c>
      <c r="B514" t="s">
        <v>1241</v>
      </c>
      <c r="C514" t="s">
        <v>405</v>
      </c>
      <c r="D514">
        <v>24.544</v>
      </c>
    </row>
    <row r="515" spans="1:4" x14ac:dyDescent="0.3">
      <c r="A515" t="s">
        <v>1242</v>
      </c>
      <c r="B515" t="s">
        <v>1243</v>
      </c>
      <c r="C515" t="s">
        <v>442</v>
      </c>
      <c r="D515">
        <v>1.885</v>
      </c>
    </row>
    <row r="516" spans="1:4" x14ac:dyDescent="0.3">
      <c r="A516" t="s">
        <v>1962</v>
      </c>
      <c r="B516" t="s">
        <v>1963</v>
      </c>
      <c r="C516" t="s">
        <v>198</v>
      </c>
      <c r="D516">
        <v>389.88600000000002</v>
      </c>
    </row>
    <row r="517" spans="1:4" x14ac:dyDescent="0.3">
      <c r="A517" t="s">
        <v>1244</v>
      </c>
      <c r="B517" t="s">
        <v>1245</v>
      </c>
      <c r="C517" t="s">
        <v>200</v>
      </c>
      <c r="D517">
        <v>38.597999999999999</v>
      </c>
    </row>
    <row r="518" spans="1:4" x14ac:dyDescent="0.3">
      <c r="A518" t="s">
        <v>1246</v>
      </c>
      <c r="B518" t="s">
        <v>1247</v>
      </c>
      <c r="C518" t="s">
        <v>1248</v>
      </c>
      <c r="D518">
        <v>33.76</v>
      </c>
    </row>
    <row r="519" spans="1:4" x14ac:dyDescent="0.3">
      <c r="A519" t="s">
        <v>1249</v>
      </c>
      <c r="B519" t="s">
        <v>1250</v>
      </c>
      <c r="C519" t="s">
        <v>1251</v>
      </c>
      <c r="D519">
        <v>144.464</v>
      </c>
    </row>
    <row r="520" spans="1:4" x14ac:dyDescent="0.3">
      <c r="A520" t="s">
        <v>1252</v>
      </c>
      <c r="B520" t="s">
        <v>1253</v>
      </c>
      <c r="C520" t="s">
        <v>198</v>
      </c>
      <c r="D520">
        <v>17.256</v>
      </c>
    </row>
    <row r="521" spans="1:4" x14ac:dyDescent="0.3">
      <c r="A521" t="s">
        <v>1992</v>
      </c>
      <c r="B521" t="s">
        <v>1993</v>
      </c>
      <c r="C521" t="s">
        <v>273</v>
      </c>
      <c r="D521">
        <v>174.2</v>
      </c>
    </row>
    <row r="522" spans="1:4" x14ac:dyDescent="0.3">
      <c r="A522" t="s">
        <v>1254</v>
      </c>
      <c r="B522" t="s">
        <v>1255</v>
      </c>
      <c r="C522" t="s">
        <v>209</v>
      </c>
      <c r="D522">
        <v>5166.2920000000004</v>
      </c>
    </row>
    <row r="523" spans="1:4" x14ac:dyDescent="0.3">
      <c r="A523" t="s">
        <v>1256</v>
      </c>
      <c r="B523" t="s">
        <v>1257</v>
      </c>
      <c r="C523" t="s">
        <v>209</v>
      </c>
      <c r="D523">
        <v>41645.546999999999</v>
      </c>
    </row>
    <row r="524" spans="1:4" x14ac:dyDescent="0.3">
      <c r="A524" t="s">
        <v>1964</v>
      </c>
      <c r="B524" t="s">
        <v>1965</v>
      </c>
      <c r="C524" t="s">
        <v>199</v>
      </c>
      <c r="D524">
        <v>67.697999999999993</v>
      </c>
    </row>
    <row r="525" spans="1:4" x14ac:dyDescent="0.3">
      <c r="A525" t="s">
        <v>1258</v>
      </c>
      <c r="B525" t="s">
        <v>1259</v>
      </c>
      <c r="C525" t="s">
        <v>198</v>
      </c>
      <c r="D525">
        <v>158.84100000000001</v>
      </c>
    </row>
    <row r="526" spans="1:4" x14ac:dyDescent="0.3">
      <c r="A526" t="s">
        <v>1598</v>
      </c>
      <c r="B526" t="s">
        <v>1599</v>
      </c>
      <c r="C526" t="s">
        <v>273</v>
      </c>
      <c r="D526">
        <v>2371.6219999999998</v>
      </c>
    </row>
    <row r="527" spans="1:4" x14ac:dyDescent="0.3">
      <c r="A527" t="s">
        <v>1260</v>
      </c>
      <c r="B527" t="s">
        <v>1966</v>
      </c>
      <c r="C527" t="s">
        <v>209</v>
      </c>
      <c r="D527">
        <v>224.39699999999999</v>
      </c>
    </row>
    <row r="528" spans="1:4" x14ac:dyDescent="0.3">
      <c r="A528" t="s">
        <v>193</v>
      </c>
      <c r="B528" t="s">
        <v>1262</v>
      </c>
      <c r="C528" t="s">
        <v>200</v>
      </c>
      <c r="D528">
        <v>0.223</v>
      </c>
    </row>
    <row r="529" spans="1:4" x14ac:dyDescent="0.3">
      <c r="A529" t="s">
        <v>1263</v>
      </c>
      <c r="B529" t="s">
        <v>1262</v>
      </c>
      <c r="C529" t="s">
        <v>209</v>
      </c>
      <c r="D529">
        <v>2.2330000000000001</v>
      </c>
    </row>
    <row r="530" spans="1:4" x14ac:dyDescent="0.3">
      <c r="A530" t="s">
        <v>1264</v>
      </c>
      <c r="B530" t="s">
        <v>1265</v>
      </c>
      <c r="C530" t="s">
        <v>209</v>
      </c>
      <c r="D530">
        <v>152.441</v>
      </c>
    </row>
    <row r="531" spans="1:4" x14ac:dyDescent="0.3">
      <c r="A531" t="s">
        <v>1266</v>
      </c>
      <c r="B531" t="s">
        <v>1267</v>
      </c>
      <c r="C531" t="s">
        <v>318</v>
      </c>
      <c r="D531">
        <v>3.31</v>
      </c>
    </row>
    <row r="532" spans="1:4" x14ac:dyDescent="0.3">
      <c r="A532" t="s">
        <v>1268</v>
      </c>
      <c r="B532" t="s">
        <v>1269</v>
      </c>
      <c r="C532" t="s">
        <v>396</v>
      </c>
      <c r="D532">
        <v>0.11</v>
      </c>
    </row>
    <row r="533" spans="1:4" x14ac:dyDescent="0.3">
      <c r="A533" t="s">
        <v>1270</v>
      </c>
      <c r="B533" t="s">
        <v>1271</v>
      </c>
      <c r="C533" t="s">
        <v>198</v>
      </c>
      <c r="D533">
        <v>14.103999999999999</v>
      </c>
    </row>
    <row r="534" spans="1:4" x14ac:dyDescent="0.3">
      <c r="A534" t="s">
        <v>1272</v>
      </c>
      <c r="B534" t="s">
        <v>1273</v>
      </c>
      <c r="C534" t="s">
        <v>1274</v>
      </c>
      <c r="D534">
        <v>21544.127</v>
      </c>
    </row>
    <row r="535" spans="1:4" x14ac:dyDescent="0.3">
      <c r="A535" t="s">
        <v>1275</v>
      </c>
      <c r="B535" t="s">
        <v>1276</v>
      </c>
      <c r="C535" t="s">
        <v>198</v>
      </c>
      <c r="D535">
        <v>0.13400000000000001</v>
      </c>
    </row>
    <row r="536" spans="1:4" x14ac:dyDescent="0.3">
      <c r="A536" t="s">
        <v>1277</v>
      </c>
      <c r="B536" t="s">
        <v>1278</v>
      </c>
      <c r="C536" t="s">
        <v>199</v>
      </c>
      <c r="D536">
        <v>1971.002</v>
      </c>
    </row>
    <row r="537" spans="1:4" x14ac:dyDescent="0.3">
      <c r="A537" t="s">
        <v>1967</v>
      </c>
      <c r="B537" t="s">
        <v>1968</v>
      </c>
      <c r="C537" t="s">
        <v>834</v>
      </c>
      <c r="D537">
        <v>284.01</v>
      </c>
    </row>
    <row r="538" spans="1:4" x14ac:dyDescent="0.3">
      <c r="A538" t="s">
        <v>1279</v>
      </c>
      <c r="B538" t="s">
        <v>1280</v>
      </c>
      <c r="C538" t="s">
        <v>198</v>
      </c>
      <c r="D538">
        <v>51.348999999999997</v>
      </c>
    </row>
    <row r="539" spans="1:4" x14ac:dyDescent="0.3">
      <c r="A539" t="s">
        <v>1281</v>
      </c>
      <c r="B539" t="s">
        <v>1282</v>
      </c>
      <c r="C539" t="s">
        <v>200</v>
      </c>
      <c r="D539">
        <v>44.381999999999998</v>
      </c>
    </row>
    <row r="540" spans="1:4" x14ac:dyDescent="0.3">
      <c r="A540" t="s">
        <v>1969</v>
      </c>
      <c r="B540" t="s">
        <v>1970</v>
      </c>
      <c r="C540" t="s">
        <v>198</v>
      </c>
      <c r="D540">
        <v>282.12299999999999</v>
      </c>
    </row>
    <row r="541" spans="1:4" x14ac:dyDescent="0.3">
      <c r="A541" t="s">
        <v>1285</v>
      </c>
      <c r="B541" t="s">
        <v>1286</v>
      </c>
      <c r="C541" t="s">
        <v>200</v>
      </c>
      <c r="D541">
        <v>29.187000000000001</v>
      </c>
    </row>
    <row r="542" spans="1:4" x14ac:dyDescent="0.3">
      <c r="A542" t="s">
        <v>1287</v>
      </c>
      <c r="B542" t="s">
        <v>1288</v>
      </c>
      <c r="C542" t="s">
        <v>198</v>
      </c>
      <c r="D542">
        <v>5.7370000000000001</v>
      </c>
    </row>
    <row r="543" spans="1:4" x14ac:dyDescent="0.3">
      <c r="A543" t="s">
        <v>1289</v>
      </c>
      <c r="B543" t="s">
        <v>1290</v>
      </c>
      <c r="C543" t="s">
        <v>198</v>
      </c>
      <c r="D543">
        <v>28.895</v>
      </c>
    </row>
    <row r="544" spans="1:4" x14ac:dyDescent="0.3">
      <c r="A544" t="s">
        <v>1291</v>
      </c>
      <c r="B544" t="s">
        <v>1292</v>
      </c>
      <c r="C544" t="s">
        <v>199</v>
      </c>
      <c r="D544">
        <v>64.415999999999997</v>
      </c>
    </row>
    <row r="545" spans="1:4" x14ac:dyDescent="0.3">
      <c r="A545" t="s">
        <v>1293</v>
      </c>
      <c r="B545" t="s">
        <v>1294</v>
      </c>
      <c r="C545" t="s">
        <v>199</v>
      </c>
      <c r="D545">
        <v>63.957000000000001</v>
      </c>
    </row>
    <row r="546" spans="1:4" x14ac:dyDescent="0.3">
      <c r="A546" t="s">
        <v>1295</v>
      </c>
      <c r="B546" t="s">
        <v>1296</v>
      </c>
      <c r="C546" t="s">
        <v>199</v>
      </c>
      <c r="D546">
        <v>128.584</v>
      </c>
    </row>
    <row r="547" spans="1:4" x14ac:dyDescent="0.3">
      <c r="A547" t="s">
        <v>1297</v>
      </c>
      <c r="B547" t="s">
        <v>1971</v>
      </c>
      <c r="C547" t="s">
        <v>199</v>
      </c>
      <c r="D547">
        <v>74.197000000000003</v>
      </c>
    </row>
    <row r="548" spans="1:4" x14ac:dyDescent="0.3">
      <c r="A548" t="s">
        <v>1299</v>
      </c>
      <c r="B548" t="s">
        <v>1300</v>
      </c>
      <c r="C548" t="s">
        <v>198</v>
      </c>
      <c r="D548">
        <v>13.529</v>
      </c>
    </row>
    <row r="549" spans="1:4" x14ac:dyDescent="0.3">
      <c r="A549" t="s">
        <v>1301</v>
      </c>
      <c r="B549" t="s">
        <v>1302</v>
      </c>
      <c r="C549" t="s">
        <v>198</v>
      </c>
      <c r="D549">
        <v>310.18799999999999</v>
      </c>
    </row>
    <row r="550" spans="1:4" x14ac:dyDescent="0.3">
      <c r="A550" t="s">
        <v>1303</v>
      </c>
      <c r="B550" t="s">
        <v>1304</v>
      </c>
      <c r="C550" t="s">
        <v>200</v>
      </c>
      <c r="D550">
        <v>62.377000000000002</v>
      </c>
    </row>
    <row r="551" spans="1:4" x14ac:dyDescent="0.3">
      <c r="A551" t="s">
        <v>1600</v>
      </c>
      <c r="B551" t="s">
        <v>1601</v>
      </c>
      <c r="C551" t="s">
        <v>198</v>
      </c>
      <c r="D551">
        <v>113.571</v>
      </c>
    </row>
    <row r="552" spans="1:4" x14ac:dyDescent="0.3">
      <c r="A552" t="s">
        <v>1305</v>
      </c>
      <c r="B552" t="s">
        <v>1306</v>
      </c>
      <c r="C552" t="s">
        <v>1307</v>
      </c>
      <c r="D552">
        <v>38.268999999999998</v>
      </c>
    </row>
    <row r="553" spans="1:4" x14ac:dyDescent="0.3">
      <c r="A553" t="s">
        <v>1308</v>
      </c>
      <c r="B553" t="s">
        <v>1309</v>
      </c>
      <c r="C553" t="s">
        <v>199</v>
      </c>
      <c r="D553">
        <v>87.775000000000006</v>
      </c>
    </row>
    <row r="554" spans="1:4" x14ac:dyDescent="0.3">
      <c r="A554" t="s">
        <v>1972</v>
      </c>
      <c r="B554" t="s">
        <v>1973</v>
      </c>
      <c r="C554" t="s">
        <v>318</v>
      </c>
      <c r="D554">
        <v>23.393999999999998</v>
      </c>
    </row>
    <row r="555" spans="1:4" x14ac:dyDescent="0.3">
      <c r="A555" t="s">
        <v>1310</v>
      </c>
      <c r="B555" t="s">
        <v>1311</v>
      </c>
      <c r="C555" t="s">
        <v>198</v>
      </c>
      <c r="D555">
        <v>336.839</v>
      </c>
    </row>
    <row r="556" spans="1:4" x14ac:dyDescent="0.3">
      <c r="A556" t="s">
        <v>1994</v>
      </c>
      <c r="B556" t="s">
        <v>1995</v>
      </c>
      <c r="C556" t="s">
        <v>199</v>
      </c>
      <c r="D556">
        <v>72.634</v>
      </c>
    </row>
    <row r="557" spans="1:4" x14ac:dyDescent="0.3">
      <c r="A557" t="s">
        <v>1918</v>
      </c>
      <c r="B557" t="s">
        <v>1974</v>
      </c>
      <c r="C557" t="s">
        <v>1134</v>
      </c>
      <c r="D557">
        <v>30.364999999999998</v>
      </c>
    </row>
    <row r="558" spans="1:4" x14ac:dyDescent="0.3">
      <c r="A558" t="s">
        <v>1312</v>
      </c>
      <c r="B558" t="s">
        <v>1313</v>
      </c>
      <c r="C558" t="s">
        <v>405</v>
      </c>
      <c r="D558">
        <v>344.93799999999999</v>
      </c>
    </row>
    <row r="559" spans="1:4" x14ac:dyDescent="0.3">
      <c r="A559" t="s">
        <v>1314</v>
      </c>
      <c r="B559" t="s">
        <v>1315</v>
      </c>
      <c r="C559" t="s">
        <v>1316</v>
      </c>
      <c r="D559">
        <v>56.514000000000003</v>
      </c>
    </row>
    <row r="560" spans="1:4" x14ac:dyDescent="0.3">
      <c r="A560" t="s">
        <v>1317</v>
      </c>
      <c r="B560" t="s">
        <v>1318</v>
      </c>
      <c r="C560" t="s">
        <v>198</v>
      </c>
      <c r="D560">
        <v>10.387</v>
      </c>
    </row>
    <row r="561" spans="1:4" x14ac:dyDescent="0.3">
      <c r="A561" t="s">
        <v>1319</v>
      </c>
      <c r="B561" t="s">
        <v>1320</v>
      </c>
      <c r="C561" t="s">
        <v>198</v>
      </c>
      <c r="D561">
        <v>37.634</v>
      </c>
    </row>
    <row r="562" spans="1:4" x14ac:dyDescent="0.3">
      <c r="A562" t="s">
        <v>1321</v>
      </c>
      <c r="B562" t="s">
        <v>1322</v>
      </c>
      <c r="C562" t="s">
        <v>659</v>
      </c>
      <c r="D562">
        <v>453.46</v>
      </c>
    </row>
    <row r="563" spans="1:4" x14ac:dyDescent="0.3">
      <c r="A563" t="s">
        <v>1996</v>
      </c>
      <c r="B563" t="s">
        <v>1997</v>
      </c>
      <c r="C563" t="s">
        <v>688</v>
      </c>
      <c r="D563">
        <v>12.638</v>
      </c>
    </row>
    <row r="564" spans="1:4" x14ac:dyDescent="0.3">
      <c r="A564" t="s">
        <v>1323</v>
      </c>
      <c r="B564" t="s">
        <v>1324</v>
      </c>
      <c r="C564" t="s">
        <v>273</v>
      </c>
      <c r="D564">
        <v>1.0880000000000001</v>
      </c>
    </row>
    <row r="565" spans="1:4" x14ac:dyDescent="0.3">
      <c r="A565" t="s">
        <v>1325</v>
      </c>
      <c r="B565" t="s">
        <v>1326</v>
      </c>
      <c r="C565" t="s">
        <v>273</v>
      </c>
      <c r="D565">
        <v>324.21199999999999</v>
      </c>
    </row>
    <row r="566" spans="1:4" x14ac:dyDescent="0.3">
      <c r="A566" t="s">
        <v>1327</v>
      </c>
      <c r="B566" t="s">
        <v>1328</v>
      </c>
      <c r="C566" t="s">
        <v>198</v>
      </c>
      <c r="D566">
        <v>34.155000000000001</v>
      </c>
    </row>
    <row r="567" spans="1:4" x14ac:dyDescent="0.3">
      <c r="A567" t="s">
        <v>1329</v>
      </c>
      <c r="B567" t="s">
        <v>1330</v>
      </c>
      <c r="C567" t="s">
        <v>199</v>
      </c>
      <c r="D567">
        <v>90.975999999999999</v>
      </c>
    </row>
    <row r="568" spans="1:4" x14ac:dyDescent="0.3">
      <c r="A568" t="s">
        <v>1331</v>
      </c>
      <c r="B568" t="s">
        <v>1332</v>
      </c>
      <c r="C568" t="s">
        <v>199</v>
      </c>
      <c r="D568">
        <v>72.241</v>
      </c>
    </row>
    <row r="569" spans="1:4" x14ac:dyDescent="0.3">
      <c r="A569" t="s">
        <v>1333</v>
      </c>
      <c r="B569" t="s">
        <v>1334</v>
      </c>
      <c r="C569" t="s">
        <v>442</v>
      </c>
      <c r="D569">
        <v>1382.424</v>
      </c>
    </row>
    <row r="570" spans="1:4" x14ac:dyDescent="0.3">
      <c r="A570" t="s">
        <v>1633</v>
      </c>
      <c r="B570" t="s">
        <v>1634</v>
      </c>
      <c r="C570" t="s">
        <v>198</v>
      </c>
      <c r="D570">
        <v>24.289000000000001</v>
      </c>
    </row>
    <row r="571" spans="1:4" x14ac:dyDescent="0.3">
      <c r="A571" t="s">
        <v>1335</v>
      </c>
      <c r="B571" t="s">
        <v>1336</v>
      </c>
      <c r="C571" t="s">
        <v>198</v>
      </c>
      <c r="D571">
        <v>4.0730000000000004</v>
      </c>
    </row>
    <row r="572" spans="1:4" x14ac:dyDescent="0.3">
      <c r="A572" t="s">
        <v>1337</v>
      </c>
      <c r="B572" t="s">
        <v>1338</v>
      </c>
      <c r="C572" t="s">
        <v>198</v>
      </c>
      <c r="D572">
        <v>4.9429999999999996</v>
      </c>
    </row>
    <row r="573" spans="1:4" x14ac:dyDescent="0.3">
      <c r="A573" t="s">
        <v>1339</v>
      </c>
      <c r="B573" t="s">
        <v>1340</v>
      </c>
      <c r="C573" t="s">
        <v>198</v>
      </c>
      <c r="D573">
        <v>3320.42</v>
      </c>
    </row>
    <row r="574" spans="1:4" x14ac:dyDescent="0.3">
      <c r="A574" t="s">
        <v>1341</v>
      </c>
      <c r="B574" t="s">
        <v>1342</v>
      </c>
      <c r="C574" t="s">
        <v>199</v>
      </c>
      <c r="D574">
        <v>9.8079999999999998</v>
      </c>
    </row>
    <row r="575" spans="1:4" x14ac:dyDescent="0.3">
      <c r="A575" t="s">
        <v>1343</v>
      </c>
      <c r="B575" t="s">
        <v>1344</v>
      </c>
      <c r="C575" t="s">
        <v>553</v>
      </c>
      <c r="D575">
        <v>27.596</v>
      </c>
    </row>
    <row r="576" spans="1:4" x14ac:dyDescent="0.3">
      <c r="A576" t="s">
        <v>1345</v>
      </c>
      <c r="B576" t="s">
        <v>1346</v>
      </c>
      <c r="C576" t="s">
        <v>198</v>
      </c>
      <c r="D576">
        <v>8.2690000000000001</v>
      </c>
    </row>
    <row r="577" spans="1:4" x14ac:dyDescent="0.3">
      <c r="A577" t="s">
        <v>1347</v>
      </c>
      <c r="B577" t="s">
        <v>1348</v>
      </c>
      <c r="C577" t="s">
        <v>522</v>
      </c>
      <c r="D577">
        <v>10.49</v>
      </c>
    </row>
    <row r="578" spans="1:4" x14ac:dyDescent="0.3">
      <c r="A578" t="s">
        <v>1349</v>
      </c>
      <c r="B578" t="s">
        <v>1350</v>
      </c>
      <c r="C578" t="s">
        <v>951</v>
      </c>
      <c r="D578">
        <v>52.45</v>
      </c>
    </row>
    <row r="579" spans="1:4" x14ac:dyDescent="0.3">
      <c r="A579" t="s">
        <v>1351</v>
      </c>
      <c r="B579" t="s">
        <v>1352</v>
      </c>
      <c r="C579" t="s">
        <v>1353</v>
      </c>
      <c r="D579">
        <v>20.98</v>
      </c>
    </row>
    <row r="580" spans="1:4" x14ac:dyDescent="0.3">
      <c r="A580" t="s">
        <v>1354</v>
      </c>
      <c r="B580" t="s">
        <v>1355</v>
      </c>
      <c r="C580" t="s">
        <v>522</v>
      </c>
      <c r="D580">
        <v>52.45</v>
      </c>
    </row>
    <row r="581" spans="1:4" x14ac:dyDescent="0.3">
      <c r="A581" t="s">
        <v>1356</v>
      </c>
      <c r="B581" t="s">
        <v>1357</v>
      </c>
      <c r="C581" t="s">
        <v>198</v>
      </c>
      <c r="D581">
        <v>0.95299999999999996</v>
      </c>
    </row>
    <row r="582" spans="1:4" x14ac:dyDescent="0.3">
      <c r="A582" t="s">
        <v>1358</v>
      </c>
      <c r="B582" t="s">
        <v>1359</v>
      </c>
      <c r="C582" t="s">
        <v>198</v>
      </c>
      <c r="D582">
        <v>0.95299999999999996</v>
      </c>
    </row>
    <row r="583" spans="1:4" x14ac:dyDescent="0.3">
      <c r="A583" t="s">
        <v>1360</v>
      </c>
      <c r="B583" t="s">
        <v>1361</v>
      </c>
      <c r="C583" t="s">
        <v>198</v>
      </c>
      <c r="D583">
        <v>1.6E-2</v>
      </c>
    </row>
    <row r="584" spans="1:4" x14ac:dyDescent="0.3">
      <c r="A584" t="s">
        <v>1364</v>
      </c>
      <c r="B584" t="s">
        <v>1365</v>
      </c>
      <c r="C584" t="s">
        <v>200</v>
      </c>
      <c r="D584">
        <v>0.25600000000000001</v>
      </c>
    </row>
    <row r="585" spans="1:4" x14ac:dyDescent="0.3">
      <c r="A585" t="s">
        <v>1366</v>
      </c>
      <c r="B585" t="s">
        <v>1367</v>
      </c>
      <c r="C585" t="s">
        <v>198</v>
      </c>
      <c r="D585">
        <v>1.4630000000000001</v>
      </c>
    </row>
    <row r="586" spans="1:4" x14ac:dyDescent="0.3">
      <c r="A586" t="s">
        <v>1368</v>
      </c>
      <c r="B586" t="s">
        <v>1369</v>
      </c>
      <c r="C586" t="s">
        <v>1134</v>
      </c>
      <c r="D586">
        <v>0.50800000000000001</v>
      </c>
    </row>
    <row r="587" spans="1:4" x14ac:dyDescent="0.3">
      <c r="A587" t="s">
        <v>1374</v>
      </c>
      <c r="B587" t="s">
        <v>1375</v>
      </c>
      <c r="C587" t="s">
        <v>1376</v>
      </c>
      <c r="D587">
        <v>51712.974999999999</v>
      </c>
    </row>
    <row r="588" spans="1:4" x14ac:dyDescent="0.3">
      <c r="A588" t="s">
        <v>191</v>
      </c>
      <c r="B588" t="s">
        <v>1377</v>
      </c>
      <c r="C588" t="s">
        <v>199</v>
      </c>
      <c r="D588">
        <v>257.08699999999999</v>
      </c>
    </row>
    <row r="589" spans="1:4" x14ac:dyDescent="0.3">
      <c r="A589" t="s">
        <v>1378</v>
      </c>
      <c r="B589" t="s">
        <v>1379</v>
      </c>
      <c r="C589" t="s">
        <v>452</v>
      </c>
      <c r="D589">
        <v>55.518999999999998</v>
      </c>
    </row>
    <row r="590" spans="1:4" x14ac:dyDescent="0.3">
      <c r="A590" t="s">
        <v>1380</v>
      </c>
      <c r="B590" t="s">
        <v>1381</v>
      </c>
      <c r="C590" t="s">
        <v>1382</v>
      </c>
      <c r="D590">
        <v>140.37299999999999</v>
      </c>
    </row>
    <row r="591" spans="1:4" x14ac:dyDescent="0.3">
      <c r="A591" t="s">
        <v>1383</v>
      </c>
      <c r="B591" t="s">
        <v>1384</v>
      </c>
      <c r="C591" t="s">
        <v>360</v>
      </c>
      <c r="D591">
        <v>0.82199999999999995</v>
      </c>
    </row>
    <row r="592" spans="1:4" x14ac:dyDescent="0.3">
      <c r="A592" t="s">
        <v>1385</v>
      </c>
      <c r="B592" t="s">
        <v>1386</v>
      </c>
      <c r="C592" t="s">
        <v>1042</v>
      </c>
      <c r="D592">
        <v>30.43</v>
      </c>
    </row>
    <row r="593" spans="1:4" x14ac:dyDescent="0.3">
      <c r="A593" t="s">
        <v>1387</v>
      </c>
      <c r="B593" t="s">
        <v>1388</v>
      </c>
      <c r="C593" t="s">
        <v>1042</v>
      </c>
      <c r="D593">
        <v>10.038</v>
      </c>
    </row>
    <row r="594" spans="1:4" x14ac:dyDescent="0.3">
      <c r="A594" t="s">
        <v>1389</v>
      </c>
      <c r="B594" t="s">
        <v>1390</v>
      </c>
      <c r="C594" t="s">
        <v>1042</v>
      </c>
      <c r="D594">
        <v>31.97</v>
      </c>
    </row>
    <row r="595" spans="1:4" x14ac:dyDescent="0.3">
      <c r="A595" t="s">
        <v>1393</v>
      </c>
      <c r="B595" t="s">
        <v>1394</v>
      </c>
      <c r="C595" t="s">
        <v>1042</v>
      </c>
      <c r="D595">
        <v>41.351999999999997</v>
      </c>
    </row>
    <row r="596" spans="1:4" x14ac:dyDescent="0.3">
      <c r="A596" t="s">
        <v>1395</v>
      </c>
      <c r="B596" t="s">
        <v>1396</v>
      </c>
      <c r="C596" t="s">
        <v>1042</v>
      </c>
      <c r="D596">
        <v>6.9619999999999997</v>
      </c>
    </row>
    <row r="597" spans="1:4" x14ac:dyDescent="0.3">
      <c r="A597" t="s">
        <v>1403</v>
      </c>
      <c r="B597" t="s">
        <v>1404</v>
      </c>
      <c r="C597" t="s">
        <v>1042</v>
      </c>
      <c r="D597">
        <v>43.439</v>
      </c>
    </row>
    <row r="598" spans="1:4" x14ac:dyDescent="0.3">
      <c r="A598" t="s">
        <v>1407</v>
      </c>
      <c r="B598" t="s">
        <v>1408</v>
      </c>
      <c r="C598" t="s">
        <v>1042</v>
      </c>
      <c r="D598">
        <v>136.45699999999999</v>
      </c>
    </row>
    <row r="599" spans="1:4" x14ac:dyDescent="0.3">
      <c r="A599" t="s">
        <v>1409</v>
      </c>
      <c r="B599" t="s">
        <v>1410</v>
      </c>
      <c r="C599" t="s">
        <v>1042</v>
      </c>
      <c r="D599">
        <v>87.748000000000005</v>
      </c>
    </row>
    <row r="600" spans="1:4" x14ac:dyDescent="0.3">
      <c r="A600" t="s">
        <v>1411</v>
      </c>
      <c r="B600" t="s">
        <v>1412</v>
      </c>
      <c r="C600" t="s">
        <v>198</v>
      </c>
      <c r="D600">
        <v>18.619</v>
      </c>
    </row>
    <row r="601" spans="1:4" x14ac:dyDescent="0.3">
      <c r="A601" t="s">
        <v>1413</v>
      </c>
      <c r="B601" t="s">
        <v>1414</v>
      </c>
      <c r="C601" t="s">
        <v>1042</v>
      </c>
      <c r="D601">
        <v>127.13</v>
      </c>
    </row>
    <row r="602" spans="1:4" x14ac:dyDescent="0.3">
      <c r="A602" t="s">
        <v>1415</v>
      </c>
      <c r="B602" t="s">
        <v>1416</v>
      </c>
      <c r="C602" t="s">
        <v>1042</v>
      </c>
      <c r="D602">
        <v>109.069</v>
      </c>
    </row>
    <row r="603" spans="1:4" x14ac:dyDescent="0.3">
      <c r="A603" t="s">
        <v>1417</v>
      </c>
      <c r="B603" t="s">
        <v>1418</v>
      </c>
      <c r="C603" t="s">
        <v>1042</v>
      </c>
      <c r="D603">
        <v>583.66700000000003</v>
      </c>
    </row>
    <row r="604" spans="1:4" x14ac:dyDescent="0.3">
      <c r="A604" t="s">
        <v>1419</v>
      </c>
      <c r="B604" t="s">
        <v>1420</v>
      </c>
      <c r="C604" t="s">
        <v>1042</v>
      </c>
      <c r="D604">
        <v>92.757999999999996</v>
      </c>
    </row>
    <row r="605" spans="1:4" x14ac:dyDescent="0.3">
      <c r="A605" t="s">
        <v>1998</v>
      </c>
      <c r="B605" t="s">
        <v>1999</v>
      </c>
      <c r="C605" t="s">
        <v>1042</v>
      </c>
      <c r="D605">
        <v>103.864</v>
      </c>
    </row>
    <row r="606" spans="1:4" x14ac:dyDescent="0.3">
      <c r="A606" t="s">
        <v>1423</v>
      </c>
      <c r="B606" t="s">
        <v>1424</v>
      </c>
      <c r="C606" t="s">
        <v>1042</v>
      </c>
      <c r="D606">
        <v>154.571</v>
      </c>
    </row>
    <row r="607" spans="1:4" x14ac:dyDescent="0.3">
      <c r="A607" t="s">
        <v>2000</v>
      </c>
      <c r="B607" t="s">
        <v>2001</v>
      </c>
      <c r="C607" t="s">
        <v>1042</v>
      </c>
      <c r="D607">
        <v>226.34700000000001</v>
      </c>
    </row>
    <row r="608" spans="1:4" x14ac:dyDescent="0.3">
      <c r="A608" t="s">
        <v>1425</v>
      </c>
      <c r="B608" t="s">
        <v>1426</v>
      </c>
      <c r="C608" t="s">
        <v>1042</v>
      </c>
      <c r="D608">
        <v>91.850999999999999</v>
      </c>
    </row>
    <row r="609" spans="1:4" x14ac:dyDescent="0.3">
      <c r="A609" t="s">
        <v>1427</v>
      </c>
      <c r="B609" t="s">
        <v>1428</v>
      </c>
      <c r="C609" t="s">
        <v>1042</v>
      </c>
      <c r="D609">
        <v>108.295</v>
      </c>
    </row>
    <row r="610" spans="1:4" x14ac:dyDescent="0.3">
      <c r="A610" t="s">
        <v>1429</v>
      </c>
      <c r="B610" t="s">
        <v>1430</v>
      </c>
      <c r="C610" t="s">
        <v>452</v>
      </c>
      <c r="D610">
        <v>0.34899999999999998</v>
      </c>
    </row>
    <row r="611" spans="1:4" x14ac:dyDescent="0.3">
      <c r="A611" t="s">
        <v>1431</v>
      </c>
      <c r="B611" t="s">
        <v>1432</v>
      </c>
      <c r="C611" t="s">
        <v>199</v>
      </c>
      <c r="D611">
        <v>40.052</v>
      </c>
    </row>
    <row r="612" spans="1:4" x14ac:dyDescent="0.3">
      <c r="A612" t="s">
        <v>1433</v>
      </c>
      <c r="B612" t="s">
        <v>1434</v>
      </c>
      <c r="C612" t="s">
        <v>199</v>
      </c>
      <c r="D612">
        <v>39.557000000000002</v>
      </c>
    </row>
    <row r="613" spans="1:4" x14ac:dyDescent="0.3">
      <c r="A613" t="s">
        <v>1435</v>
      </c>
      <c r="B613" t="s">
        <v>1436</v>
      </c>
      <c r="C613" t="s">
        <v>360</v>
      </c>
      <c r="D613">
        <v>0.86299999999999999</v>
      </c>
    </row>
    <row r="614" spans="1:4" x14ac:dyDescent="0.3">
      <c r="A614" t="s">
        <v>1437</v>
      </c>
      <c r="B614" t="s">
        <v>1438</v>
      </c>
      <c r="C614" t="s">
        <v>432</v>
      </c>
      <c r="D614">
        <v>8.625</v>
      </c>
    </row>
    <row r="615" spans="1:4" x14ac:dyDescent="0.3">
      <c r="A615" t="s">
        <v>1602</v>
      </c>
      <c r="B615" t="s">
        <v>1603</v>
      </c>
      <c r="C615" t="s">
        <v>199</v>
      </c>
      <c r="D615">
        <v>48.780999999999999</v>
      </c>
    </row>
    <row r="616" spans="1:4" x14ac:dyDescent="0.3">
      <c r="A616" t="s">
        <v>1439</v>
      </c>
      <c r="B616" t="s">
        <v>1440</v>
      </c>
      <c r="C616" t="s">
        <v>396</v>
      </c>
      <c r="D616">
        <v>222.261</v>
      </c>
    </row>
    <row r="617" spans="1:4" x14ac:dyDescent="0.3">
      <c r="A617" t="s">
        <v>1441</v>
      </c>
      <c r="B617" t="s">
        <v>1442</v>
      </c>
      <c r="C617" t="s">
        <v>452</v>
      </c>
      <c r="D617">
        <v>0.38800000000000001</v>
      </c>
    </row>
    <row r="618" spans="1:4" x14ac:dyDescent="0.3">
      <c r="A618" t="s">
        <v>1443</v>
      </c>
      <c r="B618" t="s">
        <v>1444</v>
      </c>
      <c r="C618" t="s">
        <v>396</v>
      </c>
      <c r="D618">
        <v>251.73599999999999</v>
      </c>
    </row>
    <row r="619" spans="1:4" x14ac:dyDescent="0.3">
      <c r="A619" t="s">
        <v>1635</v>
      </c>
      <c r="B619" t="s">
        <v>1636</v>
      </c>
      <c r="C619" t="s">
        <v>199</v>
      </c>
      <c r="D619">
        <v>72.075000000000003</v>
      </c>
    </row>
    <row r="620" spans="1:4" x14ac:dyDescent="0.3">
      <c r="A620" t="s">
        <v>1637</v>
      </c>
      <c r="B620" t="s">
        <v>1638</v>
      </c>
      <c r="C620" t="s">
        <v>199</v>
      </c>
      <c r="D620">
        <v>66.762</v>
      </c>
    </row>
    <row r="621" spans="1:4" x14ac:dyDescent="0.3">
      <c r="A621" t="s">
        <v>1604</v>
      </c>
      <c r="B621" t="s">
        <v>1605</v>
      </c>
      <c r="C621" t="s">
        <v>199</v>
      </c>
      <c r="D621">
        <v>63.4</v>
      </c>
    </row>
    <row r="622" spans="1:4" x14ac:dyDescent="0.3">
      <c r="A622" t="s">
        <v>1606</v>
      </c>
      <c r="B622" t="s">
        <v>1607</v>
      </c>
      <c r="C622" t="s">
        <v>199</v>
      </c>
      <c r="D622">
        <v>60.838999999999999</v>
      </c>
    </row>
    <row r="623" spans="1:4" x14ac:dyDescent="0.3">
      <c r="A623" t="s">
        <v>1639</v>
      </c>
      <c r="B623" t="s">
        <v>1640</v>
      </c>
      <c r="C623" t="s">
        <v>199</v>
      </c>
      <c r="D623">
        <v>64.787999999999997</v>
      </c>
    </row>
    <row r="624" spans="1:4" x14ac:dyDescent="0.3">
      <c r="A624" t="s">
        <v>1608</v>
      </c>
      <c r="B624" t="s">
        <v>1609</v>
      </c>
      <c r="C624" t="s">
        <v>199</v>
      </c>
      <c r="D624">
        <v>59.34</v>
      </c>
    </row>
    <row r="625" spans="1:4" x14ac:dyDescent="0.3">
      <c r="A625" t="s">
        <v>1641</v>
      </c>
      <c r="B625" t="s">
        <v>1642</v>
      </c>
      <c r="C625" t="s">
        <v>199</v>
      </c>
      <c r="D625">
        <v>55.185000000000002</v>
      </c>
    </row>
    <row r="626" spans="1:4" x14ac:dyDescent="0.3">
      <c r="A626" t="s">
        <v>1643</v>
      </c>
      <c r="B626" t="s">
        <v>1644</v>
      </c>
      <c r="C626" t="s">
        <v>199</v>
      </c>
      <c r="D626">
        <v>62.481999999999999</v>
      </c>
    </row>
    <row r="627" spans="1:4" x14ac:dyDescent="0.3">
      <c r="A627" t="s">
        <v>1645</v>
      </c>
      <c r="B627" t="s">
        <v>1646</v>
      </c>
      <c r="C627" t="s">
        <v>396</v>
      </c>
      <c r="D627">
        <v>270.56</v>
      </c>
    </row>
    <row r="628" spans="1:4" x14ac:dyDescent="0.3">
      <c r="A628" t="s">
        <v>1975</v>
      </c>
      <c r="B628" t="s">
        <v>1976</v>
      </c>
      <c r="C628" t="s">
        <v>199</v>
      </c>
      <c r="D628">
        <v>49.152000000000001</v>
      </c>
    </row>
    <row r="629" spans="1:4" x14ac:dyDescent="0.3">
      <c r="A629" t="s">
        <v>2002</v>
      </c>
      <c r="B629" t="s">
        <v>2003</v>
      </c>
      <c r="C629" t="s">
        <v>396</v>
      </c>
      <c r="D629">
        <v>314.214</v>
      </c>
    </row>
    <row r="630" spans="1:4" x14ac:dyDescent="0.3">
      <c r="A630" t="s">
        <v>2004</v>
      </c>
      <c r="B630" t="s">
        <v>2005</v>
      </c>
      <c r="C630" t="s">
        <v>199</v>
      </c>
      <c r="D630">
        <v>73.83</v>
      </c>
    </row>
    <row r="631" spans="1:4" x14ac:dyDescent="0.3">
      <c r="A631" t="s">
        <v>1445</v>
      </c>
      <c r="B631" t="s">
        <v>1446</v>
      </c>
      <c r="C631" t="s">
        <v>204</v>
      </c>
      <c r="D631">
        <v>18.783000000000001</v>
      </c>
    </row>
    <row r="632" spans="1:4" x14ac:dyDescent="0.3">
      <c r="A632" t="s">
        <v>1447</v>
      </c>
      <c r="B632" t="s">
        <v>1448</v>
      </c>
      <c r="C632" t="s">
        <v>204</v>
      </c>
      <c r="D632">
        <v>31.216000000000001</v>
      </c>
    </row>
    <row r="633" spans="1:4" x14ac:dyDescent="0.3">
      <c r="A633" t="s">
        <v>1449</v>
      </c>
      <c r="B633" t="s">
        <v>1450</v>
      </c>
      <c r="C633" t="s">
        <v>204</v>
      </c>
      <c r="D633">
        <v>46.825000000000003</v>
      </c>
    </row>
    <row r="634" spans="1:4" x14ac:dyDescent="0.3">
      <c r="A634" t="s">
        <v>1451</v>
      </c>
      <c r="B634" t="s">
        <v>1452</v>
      </c>
      <c r="C634" t="s">
        <v>204</v>
      </c>
      <c r="D634">
        <v>7.4999999999999997E-2</v>
      </c>
    </row>
    <row r="635" spans="1:4" x14ac:dyDescent="0.3">
      <c r="A635" t="s">
        <v>1612</v>
      </c>
      <c r="B635" t="s">
        <v>1613</v>
      </c>
      <c r="C635" t="s">
        <v>204</v>
      </c>
      <c r="D635">
        <v>0.253</v>
      </c>
    </row>
    <row r="636" spans="1:4" x14ac:dyDescent="0.3">
      <c r="A636" t="s">
        <v>1453</v>
      </c>
      <c r="B636" t="s">
        <v>1454</v>
      </c>
      <c r="C636" t="s">
        <v>204</v>
      </c>
      <c r="D636">
        <v>0.188</v>
      </c>
    </row>
    <row r="637" spans="1:4" x14ac:dyDescent="0.3">
      <c r="A637" t="s">
        <v>1455</v>
      </c>
      <c r="B637" t="s">
        <v>1456</v>
      </c>
      <c r="C637" t="s">
        <v>204</v>
      </c>
      <c r="D637">
        <v>0.55300000000000005</v>
      </c>
    </row>
    <row r="638" spans="1:4" x14ac:dyDescent="0.3">
      <c r="A638" t="s">
        <v>1457</v>
      </c>
      <c r="B638" t="s">
        <v>1458</v>
      </c>
      <c r="C638" t="s">
        <v>204</v>
      </c>
      <c r="D638">
        <v>0.32400000000000001</v>
      </c>
    </row>
    <row r="639" spans="1:4" x14ac:dyDescent="0.3">
      <c r="A639" t="s">
        <v>1459</v>
      </c>
      <c r="B639" t="s">
        <v>1460</v>
      </c>
      <c r="C639" t="s">
        <v>204</v>
      </c>
      <c r="D639">
        <v>0.121</v>
      </c>
    </row>
    <row r="640" spans="1:4" x14ac:dyDescent="0.3">
      <c r="A640" t="s">
        <v>1461</v>
      </c>
      <c r="B640" t="s">
        <v>1462</v>
      </c>
      <c r="C640" t="s">
        <v>1463</v>
      </c>
      <c r="D640">
        <v>1816.6510000000001</v>
      </c>
    </row>
    <row r="641" spans="1:4" x14ac:dyDescent="0.3">
      <c r="A641" t="s">
        <v>1464</v>
      </c>
      <c r="B641" t="s">
        <v>1465</v>
      </c>
      <c r="C641" t="s">
        <v>1466</v>
      </c>
      <c r="D641">
        <v>1816.6510000000001</v>
      </c>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9C97F-1EE9-41FE-89E7-48799D91EEAA}">
  <dimension ref="A1:D644"/>
  <sheetViews>
    <sheetView topLeftCell="A434" workbookViewId="0">
      <selection activeCell="B466" sqref="B466"/>
    </sheetView>
  </sheetViews>
  <sheetFormatPr defaultRowHeight="14.4" x14ac:dyDescent="0.3"/>
  <cols>
    <col min="1" max="1" width="13.21875" customWidth="1"/>
    <col min="2" max="2" width="28.77734375" bestFit="1" customWidth="1"/>
    <col min="3" max="3" width="19.5546875" customWidth="1"/>
    <col min="4" max="4" width="15" customWidth="1"/>
  </cols>
  <sheetData>
    <row r="1" spans="1:4" x14ac:dyDescent="0.3">
      <c r="A1" s="149" t="s">
        <v>201</v>
      </c>
      <c r="B1" s="149" t="s">
        <v>202</v>
      </c>
      <c r="C1" s="149" t="s">
        <v>196</v>
      </c>
      <c r="D1" s="149" t="s">
        <v>197</v>
      </c>
    </row>
    <row r="2" spans="1:4" x14ac:dyDescent="0.3">
      <c r="A2">
        <v>90371</v>
      </c>
      <c r="B2" t="s">
        <v>203</v>
      </c>
      <c r="C2" t="s">
        <v>204</v>
      </c>
      <c r="D2">
        <v>135.59299999999999</v>
      </c>
    </row>
    <row r="3" spans="1:4" x14ac:dyDescent="0.3">
      <c r="A3">
        <v>90375</v>
      </c>
      <c r="B3" t="s">
        <v>205</v>
      </c>
      <c r="C3" t="s">
        <v>206</v>
      </c>
      <c r="D3">
        <v>308.66899999999998</v>
      </c>
    </row>
    <row r="4" spans="1:4" x14ac:dyDescent="0.3">
      <c r="A4">
        <v>90376</v>
      </c>
      <c r="B4" t="s">
        <v>207</v>
      </c>
      <c r="C4" t="s">
        <v>206</v>
      </c>
      <c r="D4">
        <v>356.33100000000002</v>
      </c>
    </row>
    <row r="5" spans="1:4" x14ac:dyDescent="0.3">
      <c r="A5">
        <v>90377</v>
      </c>
      <c r="B5" t="s">
        <v>2006</v>
      </c>
      <c r="C5" t="s">
        <v>206</v>
      </c>
      <c r="D5">
        <v>239.91900000000001</v>
      </c>
    </row>
    <row r="6" spans="1:4" x14ac:dyDescent="0.3">
      <c r="A6">
        <v>90586</v>
      </c>
      <c r="B6" t="s">
        <v>210</v>
      </c>
      <c r="C6" t="s">
        <v>211</v>
      </c>
      <c r="D6">
        <v>141.524</v>
      </c>
    </row>
    <row r="7" spans="1:4" x14ac:dyDescent="0.3">
      <c r="A7">
        <v>90632</v>
      </c>
      <c r="B7" t="s">
        <v>212</v>
      </c>
      <c r="C7" t="s">
        <v>204</v>
      </c>
      <c r="D7">
        <v>64.736999999999995</v>
      </c>
    </row>
    <row r="8" spans="1:4" x14ac:dyDescent="0.3">
      <c r="A8">
        <v>90662</v>
      </c>
      <c r="B8" t="s">
        <v>217</v>
      </c>
      <c r="C8" t="s">
        <v>216</v>
      </c>
      <c r="D8">
        <v>65.260999999999996</v>
      </c>
    </row>
    <row r="9" spans="1:4" x14ac:dyDescent="0.3">
      <c r="A9">
        <v>90670</v>
      </c>
      <c r="B9" t="s">
        <v>218</v>
      </c>
      <c r="C9" t="s">
        <v>216</v>
      </c>
      <c r="D9">
        <v>241.38300000000001</v>
      </c>
    </row>
    <row r="10" spans="1:4" x14ac:dyDescent="0.3">
      <c r="A10">
        <v>90671</v>
      </c>
      <c r="B10" t="s">
        <v>2007</v>
      </c>
      <c r="C10" t="s">
        <v>1274</v>
      </c>
      <c r="D10">
        <v>246.19499999999999</v>
      </c>
    </row>
    <row r="11" spans="1:4" x14ac:dyDescent="0.3">
      <c r="A11">
        <v>90672</v>
      </c>
      <c r="B11" t="s">
        <v>1547</v>
      </c>
      <c r="C11" t="s">
        <v>1548</v>
      </c>
      <c r="D11">
        <v>26.876000000000001</v>
      </c>
    </row>
    <row r="12" spans="1:4" x14ac:dyDescent="0.3">
      <c r="A12">
        <v>90674</v>
      </c>
      <c r="B12" t="s">
        <v>219</v>
      </c>
      <c r="C12" t="s">
        <v>216</v>
      </c>
      <c r="D12">
        <v>29.94</v>
      </c>
    </row>
    <row r="13" spans="1:4" x14ac:dyDescent="0.3">
      <c r="A13">
        <v>90675</v>
      </c>
      <c r="B13" t="s">
        <v>220</v>
      </c>
      <c r="C13" t="s">
        <v>204</v>
      </c>
      <c r="D13">
        <v>341.94600000000003</v>
      </c>
    </row>
    <row r="14" spans="1:4" x14ac:dyDescent="0.3">
      <c r="A14">
        <v>90677</v>
      </c>
      <c r="B14" t="s">
        <v>2008</v>
      </c>
      <c r="C14" t="s">
        <v>216</v>
      </c>
      <c r="D14">
        <v>264.73700000000002</v>
      </c>
    </row>
    <row r="15" spans="1:4" x14ac:dyDescent="0.3">
      <c r="A15">
        <v>90682</v>
      </c>
      <c r="B15" t="s">
        <v>221</v>
      </c>
      <c r="C15" t="s">
        <v>216</v>
      </c>
      <c r="D15">
        <v>65.260999999999996</v>
      </c>
    </row>
    <row r="16" spans="1:4" x14ac:dyDescent="0.3">
      <c r="A16">
        <v>90685</v>
      </c>
      <c r="B16" t="s">
        <v>222</v>
      </c>
      <c r="C16" t="s">
        <v>223</v>
      </c>
      <c r="D16">
        <v>21.638999999999999</v>
      </c>
    </row>
    <row r="17" spans="1:4" x14ac:dyDescent="0.3">
      <c r="A17">
        <v>90686</v>
      </c>
      <c r="B17" t="s">
        <v>224</v>
      </c>
      <c r="C17" t="s">
        <v>214</v>
      </c>
      <c r="D17">
        <v>20.526</v>
      </c>
    </row>
    <row r="18" spans="1:4" x14ac:dyDescent="0.3">
      <c r="A18">
        <v>90687</v>
      </c>
      <c r="B18" t="s">
        <v>225</v>
      </c>
      <c r="C18" t="s">
        <v>226</v>
      </c>
      <c r="D18">
        <v>9.9529999999999994</v>
      </c>
    </row>
    <row r="19" spans="1:4" x14ac:dyDescent="0.3">
      <c r="A19">
        <v>90688</v>
      </c>
      <c r="B19" t="s">
        <v>227</v>
      </c>
      <c r="C19" t="s">
        <v>216</v>
      </c>
      <c r="D19">
        <v>19.905999999999999</v>
      </c>
    </row>
    <row r="20" spans="1:4" x14ac:dyDescent="0.3">
      <c r="A20">
        <v>90694</v>
      </c>
      <c r="B20" t="s">
        <v>1942</v>
      </c>
      <c r="C20" t="s">
        <v>216</v>
      </c>
      <c r="D20">
        <v>66.426000000000002</v>
      </c>
    </row>
    <row r="21" spans="1:4" x14ac:dyDescent="0.3">
      <c r="A21">
        <v>90714</v>
      </c>
      <c r="B21" t="s">
        <v>229</v>
      </c>
      <c r="C21" t="s">
        <v>216</v>
      </c>
      <c r="D21">
        <v>27.7</v>
      </c>
    </row>
    <row r="22" spans="1:4" x14ac:dyDescent="0.3">
      <c r="A22">
        <v>90715</v>
      </c>
      <c r="B22" t="s">
        <v>230</v>
      </c>
      <c r="C22" t="s">
        <v>216</v>
      </c>
      <c r="D22">
        <v>36.161999999999999</v>
      </c>
    </row>
    <row r="23" spans="1:4" x14ac:dyDescent="0.3">
      <c r="A23">
        <v>90732</v>
      </c>
      <c r="B23" t="s">
        <v>231</v>
      </c>
      <c r="C23" t="s">
        <v>216</v>
      </c>
      <c r="D23">
        <v>133.47200000000001</v>
      </c>
    </row>
    <row r="24" spans="1:4" x14ac:dyDescent="0.3">
      <c r="A24">
        <v>90739</v>
      </c>
      <c r="B24" t="s">
        <v>232</v>
      </c>
      <c r="C24" t="s">
        <v>233</v>
      </c>
      <c r="D24">
        <v>144.21</v>
      </c>
    </row>
    <row r="25" spans="1:4" x14ac:dyDescent="0.3">
      <c r="A25">
        <v>90740</v>
      </c>
      <c r="B25" t="s">
        <v>234</v>
      </c>
      <c r="C25" t="s">
        <v>235</v>
      </c>
      <c r="D25">
        <v>140.756</v>
      </c>
    </row>
    <row r="26" spans="1:4" x14ac:dyDescent="0.3">
      <c r="A26">
        <v>90744</v>
      </c>
      <c r="B26" t="s">
        <v>236</v>
      </c>
      <c r="C26" t="s">
        <v>237</v>
      </c>
      <c r="D26">
        <v>28.757000000000001</v>
      </c>
    </row>
    <row r="27" spans="1:4" x14ac:dyDescent="0.3">
      <c r="A27">
        <v>90746</v>
      </c>
      <c r="B27" t="s">
        <v>238</v>
      </c>
      <c r="C27" t="s">
        <v>239</v>
      </c>
      <c r="D27">
        <v>70.378</v>
      </c>
    </row>
    <row r="28" spans="1:4" x14ac:dyDescent="0.3">
      <c r="A28">
        <v>90747</v>
      </c>
      <c r="B28" t="s">
        <v>240</v>
      </c>
      <c r="C28" t="s">
        <v>235</v>
      </c>
      <c r="D28">
        <v>140.756</v>
      </c>
    </row>
    <row r="29" spans="1:4" x14ac:dyDescent="0.3">
      <c r="A29">
        <v>90756</v>
      </c>
      <c r="B29" t="s">
        <v>241</v>
      </c>
      <c r="C29" t="s">
        <v>216</v>
      </c>
      <c r="D29">
        <v>28.37</v>
      </c>
    </row>
    <row r="30" spans="1:4" x14ac:dyDescent="0.3">
      <c r="A30" t="s">
        <v>1549</v>
      </c>
      <c r="B30" t="s">
        <v>1550</v>
      </c>
      <c r="C30" t="s">
        <v>254</v>
      </c>
      <c r="D30">
        <v>0.151</v>
      </c>
    </row>
    <row r="31" spans="1:4" x14ac:dyDescent="0.3">
      <c r="A31" t="s">
        <v>242</v>
      </c>
      <c r="B31" t="s">
        <v>243</v>
      </c>
      <c r="C31" t="s">
        <v>204</v>
      </c>
      <c r="D31">
        <v>1.4510000000000001</v>
      </c>
    </row>
    <row r="32" spans="1:4" x14ac:dyDescent="0.3">
      <c r="A32" t="s">
        <v>244</v>
      </c>
      <c r="B32" t="s">
        <v>245</v>
      </c>
      <c r="C32" t="s">
        <v>204</v>
      </c>
      <c r="D32">
        <v>1.8779999999999999</v>
      </c>
    </row>
    <row r="33" spans="1:4" x14ac:dyDescent="0.3">
      <c r="A33" t="s">
        <v>246</v>
      </c>
      <c r="B33" t="s">
        <v>247</v>
      </c>
      <c r="C33" t="s">
        <v>204</v>
      </c>
      <c r="D33">
        <v>1.774</v>
      </c>
    </row>
    <row r="34" spans="1:4" x14ac:dyDescent="0.3">
      <c r="A34" t="s">
        <v>248</v>
      </c>
      <c r="B34" t="s">
        <v>249</v>
      </c>
      <c r="C34" t="s">
        <v>204</v>
      </c>
      <c r="D34">
        <v>1.575</v>
      </c>
    </row>
    <row r="35" spans="1:4" x14ac:dyDescent="0.3">
      <c r="A35" t="s">
        <v>250</v>
      </c>
      <c r="B35" t="s">
        <v>251</v>
      </c>
      <c r="C35" t="s">
        <v>204</v>
      </c>
      <c r="D35">
        <v>14.738</v>
      </c>
    </row>
    <row r="36" spans="1:4" x14ac:dyDescent="0.3">
      <c r="A36" t="s">
        <v>252</v>
      </c>
      <c r="B36" t="s">
        <v>253</v>
      </c>
      <c r="C36" t="s">
        <v>254</v>
      </c>
      <c r="D36">
        <v>0.34599999999999997</v>
      </c>
    </row>
    <row r="37" spans="1:4" x14ac:dyDescent="0.3">
      <c r="A37" t="s">
        <v>255</v>
      </c>
      <c r="B37" t="s">
        <v>256</v>
      </c>
      <c r="C37" t="s">
        <v>257</v>
      </c>
      <c r="D37">
        <v>1199.104</v>
      </c>
    </row>
    <row r="38" spans="1:4" x14ac:dyDescent="0.3">
      <c r="A38" t="s">
        <v>258</v>
      </c>
      <c r="B38" t="s">
        <v>259</v>
      </c>
      <c r="C38" t="s">
        <v>260</v>
      </c>
      <c r="D38">
        <v>174.02</v>
      </c>
    </row>
    <row r="39" spans="1:4" x14ac:dyDescent="0.3">
      <c r="A39" t="s">
        <v>1552</v>
      </c>
      <c r="B39" t="s">
        <v>1553</v>
      </c>
      <c r="C39" t="s">
        <v>198</v>
      </c>
      <c r="D39">
        <v>3.327</v>
      </c>
    </row>
    <row r="40" spans="1:4" x14ac:dyDescent="0.3">
      <c r="A40" t="s">
        <v>1554</v>
      </c>
      <c r="B40" t="s">
        <v>1555</v>
      </c>
      <c r="C40" t="s">
        <v>198</v>
      </c>
      <c r="D40">
        <v>1.0129999999999999</v>
      </c>
    </row>
    <row r="41" spans="1:4" x14ac:dyDescent="0.3">
      <c r="A41" t="s">
        <v>261</v>
      </c>
      <c r="B41" t="s">
        <v>262</v>
      </c>
      <c r="C41" t="s">
        <v>199</v>
      </c>
      <c r="D41">
        <v>44.521999999999998</v>
      </c>
    </row>
    <row r="42" spans="1:4" x14ac:dyDescent="0.3">
      <c r="A42" t="s">
        <v>265</v>
      </c>
      <c r="B42" t="s">
        <v>266</v>
      </c>
      <c r="C42" t="s">
        <v>257</v>
      </c>
      <c r="D42">
        <v>0.78500000000000003</v>
      </c>
    </row>
    <row r="43" spans="1:4" x14ac:dyDescent="0.3">
      <c r="A43" t="s">
        <v>267</v>
      </c>
      <c r="B43" t="s">
        <v>268</v>
      </c>
      <c r="C43" t="s">
        <v>200</v>
      </c>
      <c r="D43">
        <v>4.1000000000000002E-2</v>
      </c>
    </row>
    <row r="44" spans="1:4" x14ac:dyDescent="0.3">
      <c r="A44" t="s">
        <v>269</v>
      </c>
      <c r="B44" t="s">
        <v>270</v>
      </c>
      <c r="C44" t="s">
        <v>198</v>
      </c>
      <c r="D44">
        <v>0.52300000000000002</v>
      </c>
    </row>
    <row r="45" spans="1:4" x14ac:dyDescent="0.3">
      <c r="A45" t="s">
        <v>271</v>
      </c>
      <c r="B45" t="s">
        <v>272</v>
      </c>
      <c r="C45" t="s">
        <v>273</v>
      </c>
      <c r="D45">
        <v>0.72299999999999998</v>
      </c>
    </row>
    <row r="46" spans="1:4" x14ac:dyDescent="0.3">
      <c r="A46" t="s">
        <v>2009</v>
      </c>
      <c r="B46" t="s">
        <v>2010</v>
      </c>
      <c r="C46" t="s">
        <v>688</v>
      </c>
      <c r="D46">
        <v>11.872</v>
      </c>
    </row>
    <row r="47" spans="1:4" x14ac:dyDescent="0.3">
      <c r="A47" t="s">
        <v>274</v>
      </c>
      <c r="B47" t="s">
        <v>275</v>
      </c>
      <c r="C47" t="s">
        <v>198</v>
      </c>
      <c r="D47">
        <v>915.74699999999996</v>
      </c>
    </row>
    <row r="48" spans="1:4" x14ac:dyDescent="0.3">
      <c r="A48" t="s">
        <v>1556</v>
      </c>
      <c r="B48" t="s">
        <v>1557</v>
      </c>
      <c r="C48" t="s">
        <v>198</v>
      </c>
      <c r="D48">
        <v>311.93099999999998</v>
      </c>
    </row>
    <row r="49" spans="1:4" x14ac:dyDescent="0.3">
      <c r="A49" t="s">
        <v>276</v>
      </c>
      <c r="B49" t="s">
        <v>277</v>
      </c>
      <c r="C49" t="s">
        <v>198</v>
      </c>
      <c r="D49">
        <v>198.74700000000001</v>
      </c>
    </row>
    <row r="50" spans="1:4" x14ac:dyDescent="0.3">
      <c r="A50" t="s">
        <v>278</v>
      </c>
      <c r="B50" t="s">
        <v>279</v>
      </c>
      <c r="C50" t="s">
        <v>198</v>
      </c>
      <c r="D50">
        <v>1.722</v>
      </c>
    </row>
    <row r="51" spans="1:4" x14ac:dyDescent="0.3">
      <c r="A51" t="s">
        <v>280</v>
      </c>
      <c r="B51" t="s">
        <v>281</v>
      </c>
      <c r="C51" t="s">
        <v>198</v>
      </c>
      <c r="D51">
        <v>2129.1480000000001</v>
      </c>
    </row>
    <row r="52" spans="1:4" x14ac:dyDescent="0.3">
      <c r="A52" t="s">
        <v>285</v>
      </c>
      <c r="B52" t="s">
        <v>286</v>
      </c>
      <c r="C52" t="s">
        <v>199</v>
      </c>
      <c r="D52">
        <v>181.416</v>
      </c>
    </row>
    <row r="53" spans="1:4" x14ac:dyDescent="0.3">
      <c r="A53" t="s">
        <v>1558</v>
      </c>
      <c r="B53" t="s">
        <v>1559</v>
      </c>
      <c r="C53" t="s">
        <v>273</v>
      </c>
      <c r="D53">
        <v>97.775000000000006</v>
      </c>
    </row>
    <row r="54" spans="1:4" x14ac:dyDescent="0.3">
      <c r="A54" t="s">
        <v>1615</v>
      </c>
      <c r="B54" t="s">
        <v>1616</v>
      </c>
      <c r="C54" t="s">
        <v>396</v>
      </c>
      <c r="D54">
        <v>106.667</v>
      </c>
    </row>
    <row r="55" spans="1:4" x14ac:dyDescent="0.3">
      <c r="A55" t="s">
        <v>2011</v>
      </c>
      <c r="B55" t="s">
        <v>2012</v>
      </c>
      <c r="C55" t="s">
        <v>198</v>
      </c>
      <c r="D55">
        <v>5.5119999999999996</v>
      </c>
    </row>
    <row r="56" spans="1:4" x14ac:dyDescent="0.3">
      <c r="A56" t="s">
        <v>287</v>
      </c>
      <c r="B56" t="s">
        <v>288</v>
      </c>
      <c r="C56" t="s">
        <v>199</v>
      </c>
      <c r="D56">
        <v>4.5460000000000003</v>
      </c>
    </row>
    <row r="57" spans="1:4" x14ac:dyDescent="0.3">
      <c r="A57" t="s">
        <v>289</v>
      </c>
      <c r="B57" t="s">
        <v>290</v>
      </c>
      <c r="C57" t="s">
        <v>199</v>
      </c>
      <c r="D57">
        <v>4.9820000000000002</v>
      </c>
    </row>
    <row r="58" spans="1:4" x14ac:dyDescent="0.3">
      <c r="A58" t="s">
        <v>291</v>
      </c>
      <c r="B58" t="s">
        <v>292</v>
      </c>
      <c r="C58" t="s">
        <v>257</v>
      </c>
      <c r="D58">
        <v>0.91200000000000003</v>
      </c>
    </row>
    <row r="59" spans="1:4" x14ac:dyDescent="0.3">
      <c r="A59" t="s">
        <v>293</v>
      </c>
      <c r="B59" t="s">
        <v>294</v>
      </c>
      <c r="C59" t="s">
        <v>295</v>
      </c>
      <c r="D59">
        <v>6.1390000000000002</v>
      </c>
    </row>
    <row r="60" spans="1:4" x14ac:dyDescent="0.3">
      <c r="A60" t="s">
        <v>296</v>
      </c>
      <c r="B60" t="s">
        <v>297</v>
      </c>
      <c r="C60" t="s">
        <v>209</v>
      </c>
      <c r="D60">
        <v>41.002000000000002</v>
      </c>
    </row>
    <row r="61" spans="1:4" x14ac:dyDescent="0.3">
      <c r="A61" t="s">
        <v>298</v>
      </c>
      <c r="B61" t="s">
        <v>299</v>
      </c>
      <c r="C61" t="s">
        <v>199</v>
      </c>
      <c r="D61">
        <v>9.6020000000000003</v>
      </c>
    </row>
    <row r="62" spans="1:4" x14ac:dyDescent="0.3">
      <c r="A62" t="s">
        <v>300</v>
      </c>
      <c r="B62" t="s">
        <v>301</v>
      </c>
      <c r="C62" t="s">
        <v>199</v>
      </c>
      <c r="D62">
        <v>29.466999999999999</v>
      </c>
    </row>
    <row r="63" spans="1:4" x14ac:dyDescent="0.3">
      <c r="A63" t="s">
        <v>302</v>
      </c>
      <c r="B63" t="s">
        <v>303</v>
      </c>
      <c r="C63" t="s">
        <v>284</v>
      </c>
      <c r="D63">
        <v>0.71099999999999997</v>
      </c>
    </row>
    <row r="64" spans="1:4" x14ac:dyDescent="0.3">
      <c r="A64" t="s">
        <v>1617</v>
      </c>
      <c r="B64" t="s">
        <v>1618</v>
      </c>
      <c r="C64" t="s">
        <v>200</v>
      </c>
      <c r="D64">
        <v>3.0990000000000002</v>
      </c>
    </row>
    <row r="65" spans="1:4" x14ac:dyDescent="0.3">
      <c r="A65" t="s">
        <v>304</v>
      </c>
      <c r="B65" t="s">
        <v>305</v>
      </c>
      <c r="C65" t="s">
        <v>306</v>
      </c>
      <c r="D65">
        <v>2.7269999999999999</v>
      </c>
    </row>
    <row r="66" spans="1:4" x14ac:dyDescent="0.3">
      <c r="A66" t="s">
        <v>307</v>
      </c>
      <c r="B66" t="s">
        <v>308</v>
      </c>
      <c r="C66" t="s">
        <v>198</v>
      </c>
      <c r="D66">
        <v>0.56699999999999995</v>
      </c>
    </row>
    <row r="67" spans="1:4" x14ac:dyDescent="0.3">
      <c r="A67" t="s">
        <v>309</v>
      </c>
      <c r="B67" t="s">
        <v>310</v>
      </c>
      <c r="C67" t="s">
        <v>311</v>
      </c>
      <c r="D67">
        <v>5.3529999999999998</v>
      </c>
    </row>
    <row r="68" spans="1:4" x14ac:dyDescent="0.3">
      <c r="A68" t="s">
        <v>312</v>
      </c>
      <c r="B68" t="s">
        <v>313</v>
      </c>
      <c r="C68" t="s">
        <v>198</v>
      </c>
      <c r="D68">
        <v>5.99</v>
      </c>
    </row>
    <row r="69" spans="1:4" x14ac:dyDescent="0.3">
      <c r="A69" t="s">
        <v>314</v>
      </c>
      <c r="B69" t="s">
        <v>315</v>
      </c>
      <c r="C69" t="s">
        <v>284</v>
      </c>
      <c r="D69">
        <v>2.6339999999999999</v>
      </c>
    </row>
    <row r="70" spans="1:4" x14ac:dyDescent="0.3">
      <c r="A70" t="s">
        <v>316</v>
      </c>
      <c r="B70" t="s">
        <v>317</v>
      </c>
      <c r="C70" t="s">
        <v>318</v>
      </c>
      <c r="D70">
        <v>8.7999999999999995E-2</v>
      </c>
    </row>
    <row r="71" spans="1:4" x14ac:dyDescent="0.3">
      <c r="A71" t="s">
        <v>321</v>
      </c>
      <c r="B71" t="s">
        <v>322</v>
      </c>
      <c r="C71" t="s">
        <v>199</v>
      </c>
      <c r="D71">
        <v>181.56800000000001</v>
      </c>
    </row>
    <row r="72" spans="1:4" x14ac:dyDescent="0.3">
      <c r="A72" t="s">
        <v>323</v>
      </c>
      <c r="B72" t="s">
        <v>324</v>
      </c>
      <c r="C72" t="s">
        <v>325</v>
      </c>
      <c r="D72">
        <v>73.058999999999997</v>
      </c>
    </row>
    <row r="73" spans="1:4" x14ac:dyDescent="0.3">
      <c r="A73" t="s">
        <v>326</v>
      </c>
      <c r="B73" t="s">
        <v>327</v>
      </c>
      <c r="C73" t="s">
        <v>311</v>
      </c>
      <c r="D73">
        <v>4037.6509999999998</v>
      </c>
    </row>
    <row r="74" spans="1:4" x14ac:dyDescent="0.3">
      <c r="A74" t="s">
        <v>328</v>
      </c>
      <c r="B74" t="s">
        <v>329</v>
      </c>
      <c r="C74" t="s">
        <v>198</v>
      </c>
      <c r="D74">
        <v>3.7890000000000001</v>
      </c>
    </row>
    <row r="75" spans="1:4" x14ac:dyDescent="0.3">
      <c r="A75" t="s">
        <v>330</v>
      </c>
      <c r="B75" t="s">
        <v>331</v>
      </c>
      <c r="C75" t="s">
        <v>199</v>
      </c>
      <c r="D75">
        <v>48.232999999999997</v>
      </c>
    </row>
    <row r="76" spans="1:4" x14ac:dyDescent="0.3">
      <c r="A76" t="s">
        <v>332</v>
      </c>
      <c r="B76" t="s">
        <v>333</v>
      </c>
      <c r="C76" t="s">
        <v>311</v>
      </c>
      <c r="D76">
        <v>30.393999999999998</v>
      </c>
    </row>
    <row r="77" spans="1:4" x14ac:dyDescent="0.3">
      <c r="A77" t="s">
        <v>334</v>
      </c>
      <c r="B77" t="s">
        <v>335</v>
      </c>
      <c r="C77" t="s">
        <v>198</v>
      </c>
      <c r="D77">
        <v>19.02</v>
      </c>
    </row>
    <row r="78" spans="1:4" x14ac:dyDescent="0.3">
      <c r="A78" t="s">
        <v>336</v>
      </c>
      <c r="B78" t="s">
        <v>337</v>
      </c>
      <c r="C78" t="s">
        <v>198</v>
      </c>
      <c r="D78">
        <v>167.44</v>
      </c>
    </row>
    <row r="79" spans="1:4" x14ac:dyDescent="0.3">
      <c r="A79" t="s">
        <v>338</v>
      </c>
      <c r="B79" t="s">
        <v>339</v>
      </c>
      <c r="C79" t="s">
        <v>340</v>
      </c>
      <c r="D79">
        <v>11.776</v>
      </c>
    </row>
    <row r="80" spans="1:4" x14ac:dyDescent="0.3">
      <c r="A80" t="s">
        <v>341</v>
      </c>
      <c r="B80" t="s">
        <v>342</v>
      </c>
      <c r="C80" t="s">
        <v>340</v>
      </c>
      <c r="D80">
        <v>15.044</v>
      </c>
    </row>
    <row r="81" spans="1:4" x14ac:dyDescent="0.3">
      <c r="A81" t="s">
        <v>343</v>
      </c>
      <c r="B81" t="s">
        <v>344</v>
      </c>
      <c r="C81" t="s">
        <v>199</v>
      </c>
      <c r="D81">
        <v>39.786000000000001</v>
      </c>
    </row>
    <row r="82" spans="1:4" x14ac:dyDescent="0.3">
      <c r="A82" t="s">
        <v>348</v>
      </c>
      <c r="B82" t="s">
        <v>349</v>
      </c>
      <c r="C82" t="s">
        <v>198</v>
      </c>
      <c r="D82">
        <v>0.41899999999999998</v>
      </c>
    </row>
    <row r="83" spans="1:4" x14ac:dyDescent="0.3">
      <c r="A83" t="s">
        <v>350</v>
      </c>
      <c r="B83" t="s">
        <v>351</v>
      </c>
      <c r="C83" t="s">
        <v>198</v>
      </c>
      <c r="D83">
        <v>380.14600000000002</v>
      </c>
    </row>
    <row r="84" spans="1:4" x14ac:dyDescent="0.3">
      <c r="A84" t="s">
        <v>352</v>
      </c>
      <c r="B84" t="s">
        <v>353</v>
      </c>
      <c r="C84" t="s">
        <v>354</v>
      </c>
      <c r="D84">
        <v>6.1849999999999996</v>
      </c>
    </row>
    <row r="85" spans="1:4" x14ac:dyDescent="0.3">
      <c r="A85" t="s">
        <v>355</v>
      </c>
      <c r="B85" t="s">
        <v>356</v>
      </c>
      <c r="C85" t="s">
        <v>357</v>
      </c>
      <c r="D85">
        <v>8.3089999999999993</v>
      </c>
    </row>
    <row r="86" spans="1:4" x14ac:dyDescent="0.3">
      <c r="A86" t="s">
        <v>358</v>
      </c>
      <c r="B86" t="s">
        <v>359</v>
      </c>
      <c r="C86" t="s">
        <v>360</v>
      </c>
      <c r="D86">
        <v>12.122999999999999</v>
      </c>
    </row>
    <row r="87" spans="1:4" x14ac:dyDescent="0.3">
      <c r="A87" t="s">
        <v>361</v>
      </c>
      <c r="B87" t="s">
        <v>362</v>
      </c>
      <c r="C87" t="s">
        <v>354</v>
      </c>
      <c r="D87">
        <v>5.0579999999999998</v>
      </c>
    </row>
    <row r="88" spans="1:4" x14ac:dyDescent="0.3">
      <c r="A88" t="s">
        <v>363</v>
      </c>
      <c r="B88" t="s">
        <v>364</v>
      </c>
      <c r="C88" t="s">
        <v>273</v>
      </c>
      <c r="D88">
        <v>4.0890000000000004</v>
      </c>
    </row>
    <row r="89" spans="1:4" x14ac:dyDescent="0.3">
      <c r="A89" t="s">
        <v>365</v>
      </c>
      <c r="B89" t="s">
        <v>366</v>
      </c>
      <c r="C89" t="s">
        <v>198</v>
      </c>
      <c r="D89">
        <v>1.4510000000000001</v>
      </c>
    </row>
    <row r="90" spans="1:4" x14ac:dyDescent="0.3">
      <c r="A90" t="s">
        <v>367</v>
      </c>
      <c r="B90" t="s">
        <v>368</v>
      </c>
      <c r="C90" t="s">
        <v>198</v>
      </c>
      <c r="D90">
        <v>2.891</v>
      </c>
    </row>
    <row r="91" spans="1:4" x14ac:dyDescent="0.3">
      <c r="A91" t="s">
        <v>369</v>
      </c>
      <c r="B91" t="s">
        <v>370</v>
      </c>
      <c r="C91" t="s">
        <v>371</v>
      </c>
      <c r="D91">
        <v>30.015000000000001</v>
      </c>
    </row>
    <row r="92" spans="1:4" x14ac:dyDescent="0.3">
      <c r="A92" t="s">
        <v>372</v>
      </c>
      <c r="B92" t="s">
        <v>373</v>
      </c>
      <c r="C92" t="s">
        <v>371</v>
      </c>
      <c r="D92">
        <v>57.396999999999998</v>
      </c>
    </row>
    <row r="93" spans="1:4" x14ac:dyDescent="0.3">
      <c r="A93" t="s">
        <v>374</v>
      </c>
      <c r="B93" t="s">
        <v>375</v>
      </c>
      <c r="C93" t="s">
        <v>371</v>
      </c>
      <c r="D93">
        <v>58.962000000000003</v>
      </c>
    </row>
    <row r="94" spans="1:4" x14ac:dyDescent="0.3">
      <c r="A94" t="s">
        <v>376</v>
      </c>
      <c r="B94" t="s">
        <v>377</v>
      </c>
      <c r="C94" t="s">
        <v>378</v>
      </c>
      <c r="D94">
        <v>5708.5940000000001</v>
      </c>
    </row>
    <row r="95" spans="1:4" x14ac:dyDescent="0.3">
      <c r="A95" t="s">
        <v>379</v>
      </c>
      <c r="B95" t="s">
        <v>380</v>
      </c>
      <c r="C95" t="s">
        <v>381</v>
      </c>
      <c r="D95">
        <v>4.2880000000000003</v>
      </c>
    </row>
    <row r="96" spans="1:4" x14ac:dyDescent="0.3">
      <c r="A96" t="s">
        <v>382</v>
      </c>
      <c r="B96" t="s">
        <v>383</v>
      </c>
      <c r="C96" t="s">
        <v>384</v>
      </c>
      <c r="D96">
        <v>2841.5889999999999</v>
      </c>
    </row>
    <row r="97" spans="1:4" x14ac:dyDescent="0.3">
      <c r="A97" t="s">
        <v>385</v>
      </c>
      <c r="B97" t="s">
        <v>386</v>
      </c>
      <c r="C97" t="s">
        <v>387</v>
      </c>
      <c r="D97">
        <v>0.71899999999999997</v>
      </c>
    </row>
    <row r="98" spans="1:4" x14ac:dyDescent="0.3">
      <c r="A98" t="s">
        <v>388</v>
      </c>
      <c r="B98" t="s">
        <v>389</v>
      </c>
      <c r="C98" t="s">
        <v>200</v>
      </c>
      <c r="D98">
        <v>6.569</v>
      </c>
    </row>
    <row r="99" spans="1:4" x14ac:dyDescent="0.3">
      <c r="A99" t="s">
        <v>390</v>
      </c>
      <c r="B99" t="s">
        <v>391</v>
      </c>
      <c r="C99" t="s">
        <v>198</v>
      </c>
      <c r="D99">
        <v>115.889</v>
      </c>
    </row>
    <row r="100" spans="1:4" x14ac:dyDescent="0.3">
      <c r="A100" t="s">
        <v>392</v>
      </c>
      <c r="B100" t="s">
        <v>393</v>
      </c>
      <c r="C100" t="s">
        <v>209</v>
      </c>
      <c r="D100">
        <v>4.4420000000000002</v>
      </c>
    </row>
    <row r="101" spans="1:4" x14ac:dyDescent="0.3">
      <c r="A101" t="s">
        <v>394</v>
      </c>
      <c r="B101" t="s">
        <v>1560</v>
      </c>
      <c r="C101" t="s">
        <v>396</v>
      </c>
      <c r="D101">
        <v>0.113</v>
      </c>
    </row>
    <row r="102" spans="1:4" x14ac:dyDescent="0.3">
      <c r="A102" t="s">
        <v>1561</v>
      </c>
      <c r="B102" t="s">
        <v>1562</v>
      </c>
      <c r="C102" t="s">
        <v>396</v>
      </c>
      <c r="D102">
        <v>1.833</v>
      </c>
    </row>
    <row r="103" spans="1:4" x14ac:dyDescent="0.3">
      <c r="A103" t="s">
        <v>397</v>
      </c>
      <c r="B103" t="s">
        <v>398</v>
      </c>
      <c r="C103" t="s">
        <v>381</v>
      </c>
      <c r="D103">
        <v>2.9260000000000002</v>
      </c>
    </row>
    <row r="104" spans="1:4" x14ac:dyDescent="0.3">
      <c r="A104" t="s">
        <v>399</v>
      </c>
      <c r="B104" t="s">
        <v>400</v>
      </c>
      <c r="C104" t="s">
        <v>284</v>
      </c>
      <c r="D104">
        <v>0.76900000000000002</v>
      </c>
    </row>
    <row r="105" spans="1:4" x14ac:dyDescent="0.3">
      <c r="A105" t="s">
        <v>1619</v>
      </c>
      <c r="B105" t="s">
        <v>1620</v>
      </c>
      <c r="C105" t="s">
        <v>198</v>
      </c>
      <c r="D105">
        <v>0.72399999999999998</v>
      </c>
    </row>
    <row r="106" spans="1:4" x14ac:dyDescent="0.3">
      <c r="A106" t="s">
        <v>401</v>
      </c>
      <c r="B106" t="s">
        <v>402</v>
      </c>
      <c r="C106" t="s">
        <v>284</v>
      </c>
      <c r="D106">
        <v>1.758</v>
      </c>
    </row>
    <row r="107" spans="1:4" x14ac:dyDescent="0.3">
      <c r="A107" t="s">
        <v>403</v>
      </c>
      <c r="B107" t="s">
        <v>404</v>
      </c>
      <c r="C107" t="s">
        <v>405</v>
      </c>
      <c r="D107">
        <v>4.68</v>
      </c>
    </row>
    <row r="108" spans="1:4" x14ac:dyDescent="0.3">
      <c r="A108" t="s">
        <v>406</v>
      </c>
      <c r="B108" t="s">
        <v>407</v>
      </c>
      <c r="C108" t="s">
        <v>408</v>
      </c>
      <c r="D108">
        <v>6.6369999999999996</v>
      </c>
    </row>
    <row r="109" spans="1:4" x14ac:dyDescent="0.3">
      <c r="A109" t="s">
        <v>409</v>
      </c>
      <c r="B109" t="s">
        <v>410</v>
      </c>
      <c r="C109" t="s">
        <v>295</v>
      </c>
      <c r="D109">
        <v>0.48199999999999998</v>
      </c>
    </row>
    <row r="110" spans="1:4" x14ac:dyDescent="0.3">
      <c r="A110" t="s">
        <v>411</v>
      </c>
      <c r="B110" t="s">
        <v>412</v>
      </c>
      <c r="C110" t="s">
        <v>413</v>
      </c>
      <c r="D110">
        <v>1.9850000000000001</v>
      </c>
    </row>
    <row r="111" spans="1:4" x14ac:dyDescent="0.3">
      <c r="A111" t="s">
        <v>416</v>
      </c>
      <c r="B111" t="s">
        <v>417</v>
      </c>
      <c r="C111" t="s">
        <v>418</v>
      </c>
      <c r="D111">
        <v>6.7770000000000001</v>
      </c>
    </row>
    <row r="112" spans="1:4" x14ac:dyDescent="0.3">
      <c r="A112" t="s">
        <v>419</v>
      </c>
      <c r="B112" t="s">
        <v>420</v>
      </c>
      <c r="C112" t="s">
        <v>199</v>
      </c>
      <c r="D112">
        <v>3.5659999999999998</v>
      </c>
    </row>
    <row r="113" spans="1:4" x14ac:dyDescent="0.3">
      <c r="A113" t="s">
        <v>421</v>
      </c>
      <c r="B113" t="s">
        <v>422</v>
      </c>
      <c r="C113" t="s">
        <v>284</v>
      </c>
      <c r="D113">
        <v>1.9630000000000001</v>
      </c>
    </row>
    <row r="114" spans="1:4" x14ac:dyDescent="0.3">
      <c r="A114" t="s">
        <v>423</v>
      </c>
      <c r="B114" t="s">
        <v>424</v>
      </c>
      <c r="C114" t="s">
        <v>425</v>
      </c>
      <c r="D114">
        <v>92.373999999999995</v>
      </c>
    </row>
    <row r="115" spans="1:4" x14ac:dyDescent="0.3">
      <c r="A115" t="s">
        <v>426</v>
      </c>
      <c r="B115" t="s">
        <v>427</v>
      </c>
      <c r="C115" t="s">
        <v>198</v>
      </c>
      <c r="D115">
        <v>6.2750000000000004</v>
      </c>
    </row>
    <row r="116" spans="1:4" x14ac:dyDescent="0.3">
      <c r="A116" t="s">
        <v>428</v>
      </c>
      <c r="B116" t="s">
        <v>429</v>
      </c>
      <c r="C116" t="s">
        <v>405</v>
      </c>
      <c r="D116">
        <v>35.795999999999999</v>
      </c>
    </row>
    <row r="117" spans="1:4" x14ac:dyDescent="0.3">
      <c r="A117" t="s">
        <v>430</v>
      </c>
      <c r="B117" t="s">
        <v>431</v>
      </c>
      <c r="C117" t="s">
        <v>432</v>
      </c>
      <c r="D117">
        <v>22.632000000000001</v>
      </c>
    </row>
    <row r="118" spans="1:4" x14ac:dyDescent="0.3">
      <c r="A118" t="s">
        <v>433</v>
      </c>
      <c r="B118" t="s">
        <v>434</v>
      </c>
      <c r="C118" t="s">
        <v>198</v>
      </c>
      <c r="D118">
        <v>33.96</v>
      </c>
    </row>
    <row r="119" spans="1:4" x14ac:dyDescent="0.3">
      <c r="A119" t="s">
        <v>435</v>
      </c>
      <c r="B119" t="s">
        <v>436</v>
      </c>
      <c r="C119" t="s">
        <v>437</v>
      </c>
      <c r="D119">
        <v>567.92200000000003</v>
      </c>
    </row>
    <row r="120" spans="1:4" x14ac:dyDescent="0.3">
      <c r="A120" t="s">
        <v>2013</v>
      </c>
      <c r="B120" t="s">
        <v>2014</v>
      </c>
      <c r="C120" t="s">
        <v>2015</v>
      </c>
      <c r="D120">
        <v>20.556000000000001</v>
      </c>
    </row>
    <row r="121" spans="1:4" x14ac:dyDescent="0.3">
      <c r="A121" t="s">
        <v>1943</v>
      </c>
      <c r="B121" t="s">
        <v>1944</v>
      </c>
      <c r="C121" t="s">
        <v>1945</v>
      </c>
      <c r="D121">
        <v>2.3140000000000001</v>
      </c>
    </row>
    <row r="122" spans="1:4" x14ac:dyDescent="0.3">
      <c r="A122" t="s">
        <v>438</v>
      </c>
      <c r="B122" t="s">
        <v>439</v>
      </c>
      <c r="C122" t="s">
        <v>295</v>
      </c>
      <c r="D122">
        <v>7.3470000000000004</v>
      </c>
    </row>
    <row r="123" spans="1:4" x14ac:dyDescent="0.3">
      <c r="A123" t="s">
        <v>440</v>
      </c>
      <c r="B123" t="s">
        <v>441</v>
      </c>
      <c r="C123" t="s">
        <v>442</v>
      </c>
      <c r="D123">
        <v>0.94599999999999995</v>
      </c>
    </row>
    <row r="124" spans="1:4" x14ac:dyDescent="0.3">
      <c r="A124" t="s">
        <v>443</v>
      </c>
      <c r="B124" t="s">
        <v>444</v>
      </c>
      <c r="C124" t="s">
        <v>445</v>
      </c>
      <c r="D124">
        <v>14.137</v>
      </c>
    </row>
    <row r="125" spans="1:4" x14ac:dyDescent="0.3">
      <c r="A125" t="s">
        <v>446</v>
      </c>
      <c r="B125" t="s">
        <v>447</v>
      </c>
      <c r="C125" t="s">
        <v>318</v>
      </c>
      <c r="D125">
        <v>56.603999999999999</v>
      </c>
    </row>
    <row r="126" spans="1:4" x14ac:dyDescent="0.3">
      <c r="A126" t="s">
        <v>448</v>
      </c>
      <c r="B126" t="s">
        <v>449</v>
      </c>
      <c r="C126" t="s">
        <v>199</v>
      </c>
      <c r="D126">
        <v>4.1859999999999999</v>
      </c>
    </row>
    <row r="127" spans="1:4" x14ac:dyDescent="0.3">
      <c r="A127" t="s">
        <v>1621</v>
      </c>
      <c r="B127" t="s">
        <v>1622</v>
      </c>
      <c r="C127" t="s">
        <v>200</v>
      </c>
      <c r="D127">
        <v>124.122</v>
      </c>
    </row>
    <row r="128" spans="1:4" x14ac:dyDescent="0.3">
      <c r="A128" t="s">
        <v>453</v>
      </c>
      <c r="B128" t="s">
        <v>454</v>
      </c>
      <c r="C128" t="s">
        <v>455</v>
      </c>
      <c r="D128">
        <v>3788.2170000000001</v>
      </c>
    </row>
    <row r="129" spans="1:4" x14ac:dyDescent="0.3">
      <c r="A129" t="s">
        <v>456</v>
      </c>
      <c r="B129" t="s">
        <v>457</v>
      </c>
      <c r="C129" t="s">
        <v>458</v>
      </c>
      <c r="D129">
        <v>32.095999999999997</v>
      </c>
    </row>
    <row r="130" spans="1:4" x14ac:dyDescent="0.3">
      <c r="A130" t="s">
        <v>459</v>
      </c>
      <c r="B130" t="s">
        <v>460</v>
      </c>
      <c r="C130" t="s">
        <v>461</v>
      </c>
      <c r="D130">
        <v>2636.6869999999999</v>
      </c>
    </row>
    <row r="131" spans="1:4" x14ac:dyDescent="0.3">
      <c r="A131" t="s">
        <v>1563</v>
      </c>
      <c r="B131" t="s">
        <v>1564</v>
      </c>
      <c r="C131" t="s">
        <v>781</v>
      </c>
      <c r="D131">
        <v>1022.4450000000001</v>
      </c>
    </row>
    <row r="132" spans="1:4" x14ac:dyDescent="0.3">
      <c r="A132" t="s">
        <v>462</v>
      </c>
      <c r="B132" t="s">
        <v>463</v>
      </c>
      <c r="C132" t="s">
        <v>464</v>
      </c>
      <c r="D132">
        <v>1525.4580000000001</v>
      </c>
    </row>
    <row r="133" spans="1:4" x14ac:dyDescent="0.3">
      <c r="A133" t="s">
        <v>465</v>
      </c>
      <c r="B133" t="s">
        <v>466</v>
      </c>
      <c r="C133" t="s">
        <v>200</v>
      </c>
      <c r="D133">
        <v>15.891</v>
      </c>
    </row>
    <row r="134" spans="1:4" x14ac:dyDescent="0.3">
      <c r="A134" t="s">
        <v>467</v>
      </c>
      <c r="B134" t="s">
        <v>468</v>
      </c>
      <c r="C134" t="s">
        <v>198</v>
      </c>
      <c r="D134">
        <v>5.3999999999999999E-2</v>
      </c>
    </row>
    <row r="135" spans="1:4" x14ac:dyDescent="0.3">
      <c r="A135" t="s">
        <v>469</v>
      </c>
      <c r="B135" t="s">
        <v>470</v>
      </c>
      <c r="C135" t="s">
        <v>452</v>
      </c>
      <c r="D135">
        <v>3.0939999999999999</v>
      </c>
    </row>
    <row r="136" spans="1:4" x14ac:dyDescent="0.3">
      <c r="A136" t="s">
        <v>471</v>
      </c>
      <c r="B136" t="s">
        <v>472</v>
      </c>
      <c r="C136" t="s">
        <v>452</v>
      </c>
      <c r="D136">
        <v>3.0939999999999999</v>
      </c>
    </row>
    <row r="137" spans="1:4" x14ac:dyDescent="0.3">
      <c r="A137" t="s">
        <v>473</v>
      </c>
      <c r="B137" t="s">
        <v>474</v>
      </c>
      <c r="C137" t="s">
        <v>432</v>
      </c>
      <c r="D137">
        <v>8.2219999999999995</v>
      </c>
    </row>
    <row r="138" spans="1:4" x14ac:dyDescent="0.3">
      <c r="A138" t="s">
        <v>475</v>
      </c>
      <c r="B138" t="s">
        <v>476</v>
      </c>
      <c r="C138" t="s">
        <v>452</v>
      </c>
      <c r="D138">
        <v>1.512</v>
      </c>
    </row>
    <row r="139" spans="1:4" x14ac:dyDescent="0.3">
      <c r="A139" t="s">
        <v>477</v>
      </c>
      <c r="B139" t="s">
        <v>478</v>
      </c>
      <c r="C139" t="s">
        <v>452</v>
      </c>
      <c r="D139">
        <v>1.512</v>
      </c>
    </row>
    <row r="140" spans="1:4" x14ac:dyDescent="0.3">
      <c r="A140" t="s">
        <v>479</v>
      </c>
      <c r="B140" t="s">
        <v>480</v>
      </c>
      <c r="C140" t="s">
        <v>198</v>
      </c>
      <c r="D140">
        <v>2.883</v>
      </c>
    </row>
    <row r="141" spans="1:4" x14ac:dyDescent="0.3">
      <c r="A141" t="s">
        <v>481</v>
      </c>
      <c r="B141" t="s">
        <v>482</v>
      </c>
      <c r="C141" t="s">
        <v>284</v>
      </c>
      <c r="D141">
        <v>7.8659999999999997</v>
      </c>
    </row>
    <row r="142" spans="1:4" x14ac:dyDescent="0.3">
      <c r="A142" t="s">
        <v>1946</v>
      </c>
      <c r="B142" t="s">
        <v>1947</v>
      </c>
      <c r="C142" t="s">
        <v>458</v>
      </c>
      <c r="D142">
        <v>37.396999999999998</v>
      </c>
    </row>
    <row r="143" spans="1:4" x14ac:dyDescent="0.3">
      <c r="A143" t="s">
        <v>483</v>
      </c>
      <c r="B143" t="s">
        <v>484</v>
      </c>
      <c r="C143" t="s">
        <v>198</v>
      </c>
      <c r="D143">
        <v>21.204999999999998</v>
      </c>
    </row>
    <row r="144" spans="1:4" x14ac:dyDescent="0.3">
      <c r="A144" t="s">
        <v>485</v>
      </c>
      <c r="B144" t="s">
        <v>486</v>
      </c>
      <c r="C144" t="s">
        <v>200</v>
      </c>
      <c r="D144">
        <v>23.957000000000001</v>
      </c>
    </row>
    <row r="145" spans="1:4" x14ac:dyDescent="0.3">
      <c r="A145" t="s">
        <v>487</v>
      </c>
      <c r="B145" t="s">
        <v>488</v>
      </c>
      <c r="C145" t="s">
        <v>311</v>
      </c>
      <c r="D145">
        <v>3.5840000000000001</v>
      </c>
    </row>
    <row r="146" spans="1:4" x14ac:dyDescent="0.3">
      <c r="A146" t="s">
        <v>489</v>
      </c>
      <c r="B146" t="s">
        <v>490</v>
      </c>
      <c r="C146" t="s">
        <v>491</v>
      </c>
      <c r="D146">
        <v>5.6980000000000004</v>
      </c>
    </row>
    <row r="147" spans="1:4" x14ac:dyDescent="0.3">
      <c r="A147" t="s">
        <v>492</v>
      </c>
      <c r="B147" t="s">
        <v>493</v>
      </c>
      <c r="C147" t="s">
        <v>494</v>
      </c>
      <c r="D147">
        <v>11.821999999999999</v>
      </c>
    </row>
    <row r="148" spans="1:4" x14ac:dyDescent="0.3">
      <c r="A148" t="s">
        <v>495</v>
      </c>
      <c r="B148" t="s">
        <v>496</v>
      </c>
      <c r="C148" t="s">
        <v>198</v>
      </c>
      <c r="D148">
        <v>0.57099999999999995</v>
      </c>
    </row>
    <row r="149" spans="1:4" x14ac:dyDescent="0.3">
      <c r="A149" t="s">
        <v>497</v>
      </c>
      <c r="B149" t="s">
        <v>498</v>
      </c>
      <c r="C149" t="s">
        <v>198</v>
      </c>
      <c r="D149">
        <v>2.5999999999999999E-2</v>
      </c>
    </row>
    <row r="150" spans="1:4" x14ac:dyDescent="0.3">
      <c r="A150" t="s">
        <v>499</v>
      </c>
      <c r="B150" t="s">
        <v>500</v>
      </c>
      <c r="C150" t="s">
        <v>198</v>
      </c>
      <c r="D150">
        <v>0.11899999999999999</v>
      </c>
    </row>
    <row r="151" spans="1:4" x14ac:dyDescent="0.3">
      <c r="A151" t="s">
        <v>501</v>
      </c>
      <c r="B151" t="s">
        <v>502</v>
      </c>
      <c r="C151" t="s">
        <v>198</v>
      </c>
      <c r="D151">
        <v>54.929000000000002</v>
      </c>
    </row>
    <row r="152" spans="1:4" x14ac:dyDescent="0.3">
      <c r="A152" t="s">
        <v>503</v>
      </c>
      <c r="B152" t="s">
        <v>504</v>
      </c>
      <c r="C152" t="s">
        <v>284</v>
      </c>
      <c r="D152">
        <v>23.481000000000002</v>
      </c>
    </row>
    <row r="153" spans="1:4" x14ac:dyDescent="0.3">
      <c r="A153" t="s">
        <v>505</v>
      </c>
      <c r="B153" t="s">
        <v>506</v>
      </c>
      <c r="C153" t="s">
        <v>396</v>
      </c>
      <c r="D153">
        <v>21.738</v>
      </c>
    </row>
    <row r="154" spans="1:4" x14ac:dyDescent="0.3">
      <c r="A154" t="s">
        <v>507</v>
      </c>
      <c r="B154" t="s">
        <v>508</v>
      </c>
      <c r="C154" t="s">
        <v>464</v>
      </c>
      <c r="D154">
        <v>4128.1909999999998</v>
      </c>
    </row>
    <row r="155" spans="1:4" x14ac:dyDescent="0.3">
      <c r="A155" t="s">
        <v>509</v>
      </c>
      <c r="B155" t="s">
        <v>510</v>
      </c>
      <c r="C155" t="s">
        <v>209</v>
      </c>
      <c r="D155">
        <v>0.50800000000000001</v>
      </c>
    </row>
    <row r="156" spans="1:4" x14ac:dyDescent="0.3">
      <c r="A156" t="s">
        <v>511</v>
      </c>
      <c r="B156" t="s">
        <v>512</v>
      </c>
      <c r="C156" t="s">
        <v>513</v>
      </c>
      <c r="D156">
        <v>2.75</v>
      </c>
    </row>
    <row r="157" spans="1:4" x14ac:dyDescent="0.3">
      <c r="A157" t="s">
        <v>514</v>
      </c>
      <c r="B157" t="s">
        <v>515</v>
      </c>
      <c r="C157" t="s">
        <v>295</v>
      </c>
      <c r="D157">
        <v>189.84299999999999</v>
      </c>
    </row>
    <row r="158" spans="1:4" x14ac:dyDescent="0.3">
      <c r="A158" t="s">
        <v>516</v>
      </c>
      <c r="B158" t="s">
        <v>517</v>
      </c>
      <c r="C158" t="s">
        <v>209</v>
      </c>
      <c r="D158">
        <v>1.0609999999999999</v>
      </c>
    </row>
    <row r="159" spans="1:4" x14ac:dyDescent="0.3">
      <c r="A159" t="s">
        <v>2016</v>
      </c>
      <c r="B159" t="s">
        <v>2017</v>
      </c>
      <c r="C159" t="s">
        <v>396</v>
      </c>
      <c r="D159">
        <v>15.287000000000001</v>
      </c>
    </row>
    <row r="160" spans="1:4" x14ac:dyDescent="0.3">
      <c r="A160" t="s">
        <v>518</v>
      </c>
      <c r="B160" t="s">
        <v>519</v>
      </c>
      <c r="C160" t="s">
        <v>284</v>
      </c>
      <c r="D160">
        <v>43.905999999999999</v>
      </c>
    </row>
    <row r="161" spans="1:4" x14ac:dyDescent="0.3">
      <c r="A161" t="s">
        <v>520</v>
      </c>
      <c r="B161" t="s">
        <v>521</v>
      </c>
      <c r="C161" t="s">
        <v>522</v>
      </c>
      <c r="D161">
        <v>636.55499999999995</v>
      </c>
    </row>
    <row r="162" spans="1:4" x14ac:dyDescent="0.3">
      <c r="A162" t="s">
        <v>523</v>
      </c>
      <c r="B162" t="s">
        <v>524</v>
      </c>
      <c r="C162" t="s">
        <v>199</v>
      </c>
      <c r="D162">
        <v>17.465</v>
      </c>
    </row>
    <row r="163" spans="1:4" x14ac:dyDescent="0.3">
      <c r="A163" t="s">
        <v>525</v>
      </c>
      <c r="B163" t="s">
        <v>526</v>
      </c>
      <c r="C163" t="s">
        <v>209</v>
      </c>
      <c r="D163">
        <v>7.1219999999999999</v>
      </c>
    </row>
    <row r="164" spans="1:4" x14ac:dyDescent="0.3">
      <c r="A164" t="s">
        <v>527</v>
      </c>
      <c r="B164" t="s">
        <v>528</v>
      </c>
      <c r="C164" t="s">
        <v>199</v>
      </c>
      <c r="D164">
        <v>3.6520000000000001</v>
      </c>
    </row>
    <row r="165" spans="1:4" x14ac:dyDescent="0.3">
      <c r="A165" t="s">
        <v>529</v>
      </c>
      <c r="B165" t="s">
        <v>530</v>
      </c>
      <c r="C165" t="s">
        <v>295</v>
      </c>
      <c r="D165">
        <v>6.798</v>
      </c>
    </row>
    <row r="166" spans="1:4" x14ac:dyDescent="0.3">
      <c r="A166" t="s">
        <v>531</v>
      </c>
      <c r="B166" t="s">
        <v>532</v>
      </c>
      <c r="C166" t="s">
        <v>491</v>
      </c>
      <c r="D166">
        <v>0.63800000000000001</v>
      </c>
    </row>
    <row r="167" spans="1:4" x14ac:dyDescent="0.3">
      <c r="A167" t="s">
        <v>533</v>
      </c>
      <c r="B167" t="s">
        <v>534</v>
      </c>
      <c r="C167" t="s">
        <v>452</v>
      </c>
      <c r="D167">
        <v>0.39200000000000002</v>
      </c>
    </row>
    <row r="168" spans="1:4" x14ac:dyDescent="0.3">
      <c r="A168" t="s">
        <v>535</v>
      </c>
      <c r="B168" t="s">
        <v>536</v>
      </c>
      <c r="C168" t="s">
        <v>198</v>
      </c>
      <c r="D168">
        <v>504.13099999999997</v>
      </c>
    </row>
    <row r="169" spans="1:4" x14ac:dyDescent="0.3">
      <c r="A169" t="s">
        <v>537</v>
      </c>
      <c r="B169" t="s">
        <v>538</v>
      </c>
      <c r="C169" t="s">
        <v>199</v>
      </c>
      <c r="D169">
        <v>228.94300000000001</v>
      </c>
    </row>
    <row r="170" spans="1:4" x14ac:dyDescent="0.3">
      <c r="A170" t="s">
        <v>539</v>
      </c>
      <c r="B170" t="s">
        <v>540</v>
      </c>
      <c r="C170" t="s">
        <v>198</v>
      </c>
      <c r="D170">
        <v>20.488</v>
      </c>
    </row>
    <row r="171" spans="1:4" x14ac:dyDescent="0.3">
      <c r="A171" t="s">
        <v>1565</v>
      </c>
      <c r="B171" t="s">
        <v>1566</v>
      </c>
      <c r="C171" t="s">
        <v>199</v>
      </c>
      <c r="D171">
        <v>224.63200000000001</v>
      </c>
    </row>
    <row r="172" spans="1:4" x14ac:dyDescent="0.3">
      <c r="A172" t="s">
        <v>541</v>
      </c>
      <c r="B172" t="s">
        <v>542</v>
      </c>
      <c r="C172" t="s">
        <v>198</v>
      </c>
      <c r="D172">
        <v>250.30199999999999</v>
      </c>
    </row>
    <row r="173" spans="1:4" x14ac:dyDescent="0.3">
      <c r="A173" t="s">
        <v>543</v>
      </c>
      <c r="B173" t="s">
        <v>544</v>
      </c>
      <c r="C173" t="s">
        <v>396</v>
      </c>
      <c r="D173">
        <v>16.260000000000002</v>
      </c>
    </row>
    <row r="174" spans="1:4" x14ac:dyDescent="0.3">
      <c r="A174" t="s">
        <v>545</v>
      </c>
      <c r="B174" t="s">
        <v>546</v>
      </c>
      <c r="C174" t="s">
        <v>284</v>
      </c>
      <c r="D174">
        <v>24.477</v>
      </c>
    </row>
    <row r="175" spans="1:4" x14ac:dyDescent="0.3">
      <c r="A175" t="s">
        <v>547</v>
      </c>
      <c r="B175" t="s">
        <v>548</v>
      </c>
      <c r="C175" t="s">
        <v>284</v>
      </c>
      <c r="D175">
        <v>75.253</v>
      </c>
    </row>
    <row r="176" spans="1:4" x14ac:dyDescent="0.3">
      <c r="A176" t="s">
        <v>549</v>
      </c>
      <c r="B176" t="s">
        <v>550</v>
      </c>
      <c r="C176" t="s">
        <v>199</v>
      </c>
      <c r="D176">
        <v>10.728</v>
      </c>
    </row>
    <row r="177" spans="1:4" x14ac:dyDescent="0.3">
      <c r="A177" t="s">
        <v>551</v>
      </c>
      <c r="B177" t="s">
        <v>552</v>
      </c>
      <c r="C177" t="s">
        <v>553</v>
      </c>
      <c r="D177">
        <v>341.50099999999998</v>
      </c>
    </row>
    <row r="178" spans="1:4" x14ac:dyDescent="0.3">
      <c r="A178" t="s">
        <v>554</v>
      </c>
      <c r="B178" t="s">
        <v>555</v>
      </c>
      <c r="C178" t="s">
        <v>257</v>
      </c>
      <c r="D178">
        <v>444.09899999999999</v>
      </c>
    </row>
    <row r="179" spans="1:4" x14ac:dyDescent="0.3">
      <c r="A179" t="s">
        <v>1977</v>
      </c>
      <c r="B179" t="s">
        <v>1978</v>
      </c>
      <c r="C179" t="s">
        <v>199</v>
      </c>
      <c r="D179">
        <v>24.398</v>
      </c>
    </row>
    <row r="180" spans="1:4" x14ac:dyDescent="0.3">
      <c r="A180" t="s">
        <v>556</v>
      </c>
      <c r="B180" t="s">
        <v>557</v>
      </c>
      <c r="C180" t="s">
        <v>198</v>
      </c>
      <c r="D180">
        <v>1.123</v>
      </c>
    </row>
    <row r="181" spans="1:4" x14ac:dyDescent="0.3">
      <c r="A181" t="s">
        <v>558</v>
      </c>
      <c r="B181" t="s">
        <v>559</v>
      </c>
      <c r="C181" t="s">
        <v>452</v>
      </c>
      <c r="D181">
        <v>0.98399999999999999</v>
      </c>
    </row>
    <row r="182" spans="1:4" x14ac:dyDescent="0.3">
      <c r="A182" t="s">
        <v>560</v>
      </c>
      <c r="B182" t="s">
        <v>561</v>
      </c>
      <c r="C182" t="s">
        <v>452</v>
      </c>
      <c r="D182">
        <v>0.44900000000000001</v>
      </c>
    </row>
    <row r="183" spans="1:4" x14ac:dyDescent="0.3">
      <c r="A183" t="s">
        <v>2018</v>
      </c>
      <c r="B183" t="s">
        <v>2019</v>
      </c>
      <c r="C183" t="s">
        <v>198</v>
      </c>
      <c r="D183">
        <v>4.952</v>
      </c>
    </row>
    <row r="184" spans="1:4" x14ac:dyDescent="0.3">
      <c r="A184" t="s">
        <v>562</v>
      </c>
      <c r="B184" t="s">
        <v>563</v>
      </c>
      <c r="C184" t="s">
        <v>442</v>
      </c>
      <c r="D184">
        <v>3.1379999999999999</v>
      </c>
    </row>
    <row r="185" spans="1:4" x14ac:dyDescent="0.3">
      <c r="A185" t="s">
        <v>564</v>
      </c>
      <c r="B185" t="s">
        <v>565</v>
      </c>
      <c r="C185" t="s">
        <v>198</v>
      </c>
      <c r="D185">
        <v>0.19</v>
      </c>
    </row>
    <row r="186" spans="1:4" x14ac:dyDescent="0.3">
      <c r="A186" t="s">
        <v>566</v>
      </c>
      <c r="B186" t="s">
        <v>567</v>
      </c>
      <c r="C186" t="s">
        <v>458</v>
      </c>
      <c r="D186">
        <v>503.97899999999998</v>
      </c>
    </row>
    <row r="187" spans="1:4" x14ac:dyDescent="0.3">
      <c r="A187" t="s">
        <v>568</v>
      </c>
      <c r="B187" t="s">
        <v>569</v>
      </c>
      <c r="C187" t="s">
        <v>198</v>
      </c>
      <c r="D187">
        <v>411.91300000000001</v>
      </c>
    </row>
    <row r="188" spans="1:4" x14ac:dyDescent="0.3">
      <c r="A188" t="s">
        <v>570</v>
      </c>
      <c r="B188" t="s">
        <v>571</v>
      </c>
      <c r="C188" t="s">
        <v>284</v>
      </c>
      <c r="D188">
        <v>45.008000000000003</v>
      </c>
    </row>
    <row r="189" spans="1:4" x14ac:dyDescent="0.3">
      <c r="A189" t="s">
        <v>572</v>
      </c>
      <c r="B189" t="s">
        <v>573</v>
      </c>
      <c r="C189" t="s">
        <v>574</v>
      </c>
      <c r="D189">
        <v>45.418999999999997</v>
      </c>
    </row>
    <row r="190" spans="1:4" x14ac:dyDescent="0.3">
      <c r="A190" t="s">
        <v>1979</v>
      </c>
      <c r="B190" t="s">
        <v>1980</v>
      </c>
      <c r="C190" t="s">
        <v>284</v>
      </c>
      <c r="D190">
        <v>481.77</v>
      </c>
    </row>
    <row r="191" spans="1:4" x14ac:dyDescent="0.3">
      <c r="A191" t="s">
        <v>575</v>
      </c>
      <c r="B191" t="s">
        <v>576</v>
      </c>
      <c r="C191" t="s">
        <v>257</v>
      </c>
      <c r="D191">
        <v>14.747999999999999</v>
      </c>
    </row>
    <row r="192" spans="1:4" x14ac:dyDescent="0.3">
      <c r="A192" t="s">
        <v>577</v>
      </c>
      <c r="B192" t="s">
        <v>578</v>
      </c>
      <c r="C192" t="s">
        <v>284</v>
      </c>
      <c r="D192">
        <v>70.489999999999995</v>
      </c>
    </row>
    <row r="193" spans="1:4" x14ac:dyDescent="0.3">
      <c r="A193" t="s">
        <v>579</v>
      </c>
      <c r="B193" t="s">
        <v>580</v>
      </c>
      <c r="C193" t="s">
        <v>284</v>
      </c>
      <c r="D193">
        <v>50.804000000000002</v>
      </c>
    </row>
    <row r="194" spans="1:4" x14ac:dyDescent="0.3">
      <c r="A194" t="s">
        <v>1623</v>
      </c>
      <c r="B194" t="s">
        <v>1624</v>
      </c>
      <c r="C194" t="s">
        <v>257</v>
      </c>
      <c r="D194">
        <v>13.295999999999999</v>
      </c>
    </row>
    <row r="195" spans="1:4" x14ac:dyDescent="0.3">
      <c r="A195" t="s">
        <v>581</v>
      </c>
      <c r="B195" t="s">
        <v>582</v>
      </c>
      <c r="C195" t="s">
        <v>257</v>
      </c>
      <c r="D195">
        <v>11.785</v>
      </c>
    </row>
    <row r="196" spans="1:4" x14ac:dyDescent="0.3">
      <c r="A196" t="s">
        <v>583</v>
      </c>
      <c r="B196" t="s">
        <v>584</v>
      </c>
      <c r="C196" t="s">
        <v>585</v>
      </c>
      <c r="D196">
        <v>454.19400000000002</v>
      </c>
    </row>
    <row r="197" spans="1:4" x14ac:dyDescent="0.3">
      <c r="A197" t="s">
        <v>586</v>
      </c>
      <c r="B197" t="s">
        <v>587</v>
      </c>
      <c r="C197" t="s">
        <v>284</v>
      </c>
      <c r="D197">
        <v>46.509</v>
      </c>
    </row>
    <row r="198" spans="1:4" x14ac:dyDescent="0.3">
      <c r="A198" t="s">
        <v>588</v>
      </c>
      <c r="B198" t="s">
        <v>589</v>
      </c>
      <c r="C198" t="s">
        <v>284</v>
      </c>
      <c r="D198">
        <v>69.59</v>
      </c>
    </row>
    <row r="199" spans="1:4" x14ac:dyDescent="0.3">
      <c r="A199" t="s">
        <v>590</v>
      </c>
      <c r="B199" t="s">
        <v>591</v>
      </c>
      <c r="C199" t="s">
        <v>284</v>
      </c>
      <c r="D199">
        <v>41.613</v>
      </c>
    </row>
    <row r="200" spans="1:4" x14ac:dyDescent="0.3">
      <c r="A200" t="s">
        <v>592</v>
      </c>
      <c r="B200" t="s">
        <v>593</v>
      </c>
      <c r="C200" t="s">
        <v>284</v>
      </c>
      <c r="D200">
        <v>46.667000000000002</v>
      </c>
    </row>
    <row r="201" spans="1:4" x14ac:dyDescent="0.3">
      <c r="A201" t="s">
        <v>594</v>
      </c>
      <c r="B201" t="s">
        <v>595</v>
      </c>
      <c r="C201" t="s">
        <v>284</v>
      </c>
      <c r="D201">
        <v>47.371000000000002</v>
      </c>
    </row>
    <row r="202" spans="1:4" x14ac:dyDescent="0.3">
      <c r="A202" t="s">
        <v>596</v>
      </c>
      <c r="B202" t="s">
        <v>597</v>
      </c>
      <c r="C202" t="s">
        <v>216</v>
      </c>
      <c r="D202">
        <v>73.596000000000004</v>
      </c>
    </row>
    <row r="203" spans="1:4" x14ac:dyDescent="0.3">
      <c r="A203" t="s">
        <v>598</v>
      </c>
      <c r="B203" t="s">
        <v>599</v>
      </c>
      <c r="C203" t="s">
        <v>284</v>
      </c>
      <c r="D203">
        <v>35.893000000000001</v>
      </c>
    </row>
    <row r="204" spans="1:4" x14ac:dyDescent="0.3">
      <c r="A204" t="s">
        <v>600</v>
      </c>
      <c r="B204" t="s">
        <v>601</v>
      </c>
      <c r="C204" t="s">
        <v>257</v>
      </c>
      <c r="D204">
        <v>15.419</v>
      </c>
    </row>
    <row r="205" spans="1:4" x14ac:dyDescent="0.3">
      <c r="A205" t="s">
        <v>602</v>
      </c>
      <c r="B205" t="s">
        <v>603</v>
      </c>
      <c r="C205" t="s">
        <v>494</v>
      </c>
      <c r="D205">
        <v>1.413</v>
      </c>
    </row>
    <row r="206" spans="1:4" x14ac:dyDescent="0.3">
      <c r="A206" t="s">
        <v>604</v>
      </c>
      <c r="B206" t="s">
        <v>605</v>
      </c>
      <c r="C206" t="s">
        <v>198</v>
      </c>
      <c r="D206">
        <v>16.100000000000001</v>
      </c>
    </row>
    <row r="207" spans="1:4" x14ac:dyDescent="0.3">
      <c r="A207" t="s">
        <v>606</v>
      </c>
      <c r="B207" t="s">
        <v>607</v>
      </c>
      <c r="C207" t="s">
        <v>198</v>
      </c>
      <c r="D207">
        <v>166.773</v>
      </c>
    </row>
    <row r="208" spans="1:4" x14ac:dyDescent="0.3">
      <c r="A208" t="s">
        <v>608</v>
      </c>
      <c r="B208" t="s">
        <v>609</v>
      </c>
      <c r="C208" t="s">
        <v>610</v>
      </c>
      <c r="D208">
        <v>0.34499999999999997</v>
      </c>
    </row>
    <row r="209" spans="1:4" x14ac:dyDescent="0.3">
      <c r="A209" t="s">
        <v>611</v>
      </c>
      <c r="B209" t="s">
        <v>612</v>
      </c>
      <c r="C209" t="s">
        <v>273</v>
      </c>
      <c r="D209">
        <v>6.71</v>
      </c>
    </row>
    <row r="210" spans="1:4" x14ac:dyDescent="0.3">
      <c r="A210" t="s">
        <v>613</v>
      </c>
      <c r="B210" t="s">
        <v>614</v>
      </c>
      <c r="C210" t="s">
        <v>200</v>
      </c>
      <c r="D210">
        <v>1.087</v>
      </c>
    </row>
    <row r="211" spans="1:4" x14ac:dyDescent="0.3">
      <c r="A211" t="s">
        <v>615</v>
      </c>
      <c r="B211" t="s">
        <v>616</v>
      </c>
      <c r="C211" t="s">
        <v>209</v>
      </c>
      <c r="D211">
        <v>8.1609999999999996</v>
      </c>
    </row>
    <row r="212" spans="1:4" x14ac:dyDescent="0.3">
      <c r="A212" t="s">
        <v>617</v>
      </c>
      <c r="B212" t="s">
        <v>618</v>
      </c>
      <c r="C212" t="s">
        <v>198</v>
      </c>
      <c r="D212">
        <v>26.629000000000001</v>
      </c>
    </row>
    <row r="213" spans="1:4" x14ac:dyDescent="0.3">
      <c r="A213" t="s">
        <v>619</v>
      </c>
      <c r="B213" t="s">
        <v>620</v>
      </c>
      <c r="C213" t="s">
        <v>371</v>
      </c>
      <c r="D213">
        <v>1.4999999999999999E-2</v>
      </c>
    </row>
    <row r="214" spans="1:4" x14ac:dyDescent="0.3">
      <c r="A214" t="s">
        <v>621</v>
      </c>
      <c r="B214" t="s">
        <v>622</v>
      </c>
      <c r="C214" t="s">
        <v>432</v>
      </c>
      <c r="D214">
        <v>0.247</v>
      </c>
    </row>
    <row r="215" spans="1:4" x14ac:dyDescent="0.3">
      <c r="A215" t="s">
        <v>623</v>
      </c>
      <c r="B215" t="s">
        <v>624</v>
      </c>
      <c r="C215" t="s">
        <v>625</v>
      </c>
      <c r="D215">
        <v>10.012</v>
      </c>
    </row>
    <row r="216" spans="1:4" x14ac:dyDescent="0.3">
      <c r="A216" t="s">
        <v>626</v>
      </c>
      <c r="B216" t="s">
        <v>627</v>
      </c>
      <c r="C216" t="s">
        <v>199</v>
      </c>
      <c r="D216">
        <v>0.80300000000000005</v>
      </c>
    </row>
    <row r="217" spans="1:4" x14ac:dyDescent="0.3">
      <c r="A217" t="s">
        <v>628</v>
      </c>
      <c r="B217" t="s">
        <v>629</v>
      </c>
      <c r="C217" t="s">
        <v>396</v>
      </c>
      <c r="D217">
        <v>1.4650000000000001</v>
      </c>
    </row>
    <row r="218" spans="1:4" x14ac:dyDescent="0.3">
      <c r="A218" t="s">
        <v>630</v>
      </c>
      <c r="B218" t="s">
        <v>631</v>
      </c>
      <c r="C218" t="s">
        <v>632</v>
      </c>
      <c r="D218">
        <v>482.08</v>
      </c>
    </row>
    <row r="219" spans="1:4" x14ac:dyDescent="0.3">
      <c r="A219" t="s">
        <v>633</v>
      </c>
      <c r="B219" t="s">
        <v>634</v>
      </c>
      <c r="C219" t="s">
        <v>257</v>
      </c>
      <c r="D219">
        <v>14.760999999999999</v>
      </c>
    </row>
    <row r="220" spans="1:4" x14ac:dyDescent="0.3">
      <c r="A220" t="s">
        <v>635</v>
      </c>
      <c r="B220" t="s">
        <v>636</v>
      </c>
      <c r="C220" t="s">
        <v>198</v>
      </c>
      <c r="D220">
        <v>29.274000000000001</v>
      </c>
    </row>
    <row r="221" spans="1:4" x14ac:dyDescent="0.3">
      <c r="A221" t="s">
        <v>639</v>
      </c>
      <c r="B221" t="s">
        <v>640</v>
      </c>
      <c r="C221" t="s">
        <v>198</v>
      </c>
      <c r="D221">
        <v>542.94299999999998</v>
      </c>
    </row>
    <row r="222" spans="1:4" x14ac:dyDescent="0.3">
      <c r="A222" t="s">
        <v>641</v>
      </c>
      <c r="B222" t="s">
        <v>642</v>
      </c>
      <c r="C222" t="s">
        <v>199</v>
      </c>
      <c r="D222">
        <v>37.875999999999998</v>
      </c>
    </row>
    <row r="223" spans="1:4" x14ac:dyDescent="0.3">
      <c r="A223" t="s">
        <v>1567</v>
      </c>
      <c r="B223" t="s">
        <v>1568</v>
      </c>
      <c r="C223" t="s">
        <v>199</v>
      </c>
      <c r="D223">
        <v>66.253</v>
      </c>
    </row>
    <row r="224" spans="1:4" x14ac:dyDescent="0.3">
      <c r="A224" t="s">
        <v>643</v>
      </c>
      <c r="B224" t="s">
        <v>644</v>
      </c>
      <c r="C224" t="s">
        <v>209</v>
      </c>
      <c r="D224">
        <v>15.824999999999999</v>
      </c>
    </row>
    <row r="225" spans="1:4" x14ac:dyDescent="0.3">
      <c r="A225" t="s">
        <v>645</v>
      </c>
      <c r="B225" t="s">
        <v>646</v>
      </c>
      <c r="C225" t="s">
        <v>198</v>
      </c>
      <c r="D225">
        <v>0.221</v>
      </c>
    </row>
    <row r="226" spans="1:4" x14ac:dyDescent="0.3">
      <c r="A226" t="s">
        <v>647</v>
      </c>
      <c r="B226" t="s">
        <v>648</v>
      </c>
      <c r="C226" t="s">
        <v>371</v>
      </c>
      <c r="D226">
        <v>43.965000000000003</v>
      </c>
    </row>
    <row r="227" spans="1:4" x14ac:dyDescent="0.3">
      <c r="A227" t="s">
        <v>651</v>
      </c>
      <c r="B227" t="s">
        <v>652</v>
      </c>
      <c r="C227" t="s">
        <v>653</v>
      </c>
      <c r="D227">
        <v>0.89700000000000002</v>
      </c>
    </row>
    <row r="228" spans="1:4" x14ac:dyDescent="0.3">
      <c r="A228" t="s">
        <v>654</v>
      </c>
      <c r="B228" t="s">
        <v>655</v>
      </c>
      <c r="C228" t="s">
        <v>656</v>
      </c>
      <c r="D228">
        <v>10.952</v>
      </c>
    </row>
    <row r="229" spans="1:4" x14ac:dyDescent="0.3">
      <c r="A229" t="s">
        <v>2020</v>
      </c>
      <c r="B229" t="s">
        <v>2021</v>
      </c>
      <c r="C229" t="s">
        <v>198</v>
      </c>
      <c r="D229">
        <v>462.61799999999999</v>
      </c>
    </row>
    <row r="230" spans="1:4" x14ac:dyDescent="0.3">
      <c r="A230" t="s">
        <v>657</v>
      </c>
      <c r="B230" t="s">
        <v>658</v>
      </c>
      <c r="C230" t="s">
        <v>659</v>
      </c>
      <c r="D230">
        <v>0.54500000000000004</v>
      </c>
    </row>
    <row r="231" spans="1:4" x14ac:dyDescent="0.3">
      <c r="A231" t="s">
        <v>660</v>
      </c>
      <c r="B231" t="s">
        <v>661</v>
      </c>
      <c r="C231" t="s">
        <v>198</v>
      </c>
      <c r="D231">
        <v>66.183000000000007</v>
      </c>
    </row>
    <row r="232" spans="1:4" x14ac:dyDescent="0.3">
      <c r="A232" t="s">
        <v>662</v>
      </c>
      <c r="B232" t="s">
        <v>663</v>
      </c>
      <c r="C232" t="s">
        <v>273</v>
      </c>
      <c r="D232">
        <v>34.777000000000001</v>
      </c>
    </row>
    <row r="233" spans="1:4" x14ac:dyDescent="0.3">
      <c r="A233" t="s">
        <v>664</v>
      </c>
      <c r="B233" t="s">
        <v>665</v>
      </c>
      <c r="C233" t="s">
        <v>311</v>
      </c>
      <c r="D233">
        <v>0.51500000000000001</v>
      </c>
    </row>
    <row r="234" spans="1:4" x14ac:dyDescent="0.3">
      <c r="A234" t="s">
        <v>1569</v>
      </c>
      <c r="B234" t="s">
        <v>1570</v>
      </c>
      <c r="C234" t="s">
        <v>198</v>
      </c>
      <c r="D234">
        <v>3.0030000000000001</v>
      </c>
    </row>
    <row r="235" spans="1:4" x14ac:dyDescent="0.3">
      <c r="A235" t="s">
        <v>1571</v>
      </c>
      <c r="B235" t="s">
        <v>1572</v>
      </c>
      <c r="C235" t="s">
        <v>198</v>
      </c>
      <c r="D235">
        <v>2.95</v>
      </c>
    </row>
    <row r="236" spans="1:4" x14ac:dyDescent="0.3">
      <c r="A236" t="s">
        <v>668</v>
      </c>
      <c r="B236" t="s">
        <v>669</v>
      </c>
      <c r="C236" t="s">
        <v>670</v>
      </c>
      <c r="D236">
        <v>1366.009</v>
      </c>
    </row>
    <row r="237" spans="1:4" x14ac:dyDescent="0.3">
      <c r="A237" t="s">
        <v>1981</v>
      </c>
      <c r="B237" t="s">
        <v>1982</v>
      </c>
      <c r="C237" t="s">
        <v>458</v>
      </c>
      <c r="D237">
        <v>127.04600000000001</v>
      </c>
    </row>
    <row r="238" spans="1:4" x14ac:dyDescent="0.3">
      <c r="A238" t="s">
        <v>671</v>
      </c>
      <c r="B238" t="s">
        <v>672</v>
      </c>
      <c r="C238" t="s">
        <v>199</v>
      </c>
      <c r="D238">
        <v>9.2999999999999999E-2</v>
      </c>
    </row>
    <row r="239" spans="1:4" x14ac:dyDescent="0.3">
      <c r="A239" t="s">
        <v>673</v>
      </c>
      <c r="B239" t="s">
        <v>674</v>
      </c>
      <c r="C239" t="s">
        <v>405</v>
      </c>
      <c r="D239">
        <v>21.760999999999999</v>
      </c>
    </row>
    <row r="240" spans="1:4" x14ac:dyDescent="0.3">
      <c r="A240" t="s">
        <v>675</v>
      </c>
      <c r="B240" t="s">
        <v>676</v>
      </c>
      <c r="C240" t="s">
        <v>295</v>
      </c>
      <c r="D240">
        <v>0.98299999999999998</v>
      </c>
    </row>
    <row r="241" spans="1:4" x14ac:dyDescent="0.3">
      <c r="A241" t="s">
        <v>677</v>
      </c>
      <c r="B241" t="s">
        <v>678</v>
      </c>
      <c r="C241" t="s">
        <v>458</v>
      </c>
      <c r="D241">
        <v>29.254000000000001</v>
      </c>
    </row>
    <row r="242" spans="1:4" x14ac:dyDescent="0.3">
      <c r="A242" t="s">
        <v>679</v>
      </c>
      <c r="B242" t="s">
        <v>680</v>
      </c>
      <c r="C242" t="s">
        <v>199</v>
      </c>
      <c r="D242">
        <v>2.5000000000000001E-2</v>
      </c>
    </row>
    <row r="243" spans="1:4" x14ac:dyDescent="0.3">
      <c r="A243" t="s">
        <v>681</v>
      </c>
      <c r="B243" t="s">
        <v>682</v>
      </c>
      <c r="C243" t="s">
        <v>683</v>
      </c>
      <c r="D243">
        <v>10.1</v>
      </c>
    </row>
    <row r="244" spans="1:4" x14ac:dyDescent="0.3">
      <c r="A244" t="s">
        <v>684</v>
      </c>
      <c r="B244" t="s">
        <v>685</v>
      </c>
      <c r="C244" t="s">
        <v>442</v>
      </c>
      <c r="D244">
        <v>6.2510000000000003</v>
      </c>
    </row>
    <row r="245" spans="1:4" x14ac:dyDescent="0.3">
      <c r="A245" t="s">
        <v>686</v>
      </c>
      <c r="B245" t="s">
        <v>687</v>
      </c>
      <c r="C245" t="s">
        <v>688</v>
      </c>
      <c r="D245">
        <v>0.71799999999999997</v>
      </c>
    </row>
    <row r="246" spans="1:4" x14ac:dyDescent="0.3">
      <c r="A246" t="s">
        <v>689</v>
      </c>
      <c r="B246" t="s">
        <v>690</v>
      </c>
      <c r="C246" t="s">
        <v>522</v>
      </c>
      <c r="D246">
        <v>4.63</v>
      </c>
    </row>
    <row r="247" spans="1:4" x14ac:dyDescent="0.3">
      <c r="A247" t="s">
        <v>691</v>
      </c>
      <c r="B247" t="s">
        <v>692</v>
      </c>
      <c r="C247" t="s">
        <v>257</v>
      </c>
      <c r="D247">
        <v>6.2169999999999996</v>
      </c>
    </row>
    <row r="248" spans="1:4" x14ac:dyDescent="0.3">
      <c r="A248" t="s">
        <v>693</v>
      </c>
      <c r="B248" t="s">
        <v>694</v>
      </c>
      <c r="C248" t="s">
        <v>198</v>
      </c>
      <c r="D248">
        <v>28.684999999999999</v>
      </c>
    </row>
    <row r="249" spans="1:4" x14ac:dyDescent="0.3">
      <c r="A249" t="s">
        <v>695</v>
      </c>
      <c r="B249" t="s">
        <v>696</v>
      </c>
      <c r="C249" t="s">
        <v>257</v>
      </c>
      <c r="D249">
        <v>0.74299999999999999</v>
      </c>
    </row>
    <row r="250" spans="1:4" x14ac:dyDescent="0.3">
      <c r="A250" t="s">
        <v>697</v>
      </c>
      <c r="B250" t="s">
        <v>698</v>
      </c>
      <c r="C250" t="s">
        <v>699</v>
      </c>
      <c r="D250">
        <v>19.382000000000001</v>
      </c>
    </row>
    <row r="251" spans="1:4" x14ac:dyDescent="0.3">
      <c r="A251" t="s">
        <v>700</v>
      </c>
      <c r="B251" t="s">
        <v>701</v>
      </c>
      <c r="C251" t="s">
        <v>198</v>
      </c>
      <c r="D251">
        <v>0.85599999999999998</v>
      </c>
    </row>
    <row r="252" spans="1:4" x14ac:dyDescent="0.3">
      <c r="A252" t="s">
        <v>702</v>
      </c>
      <c r="B252" t="s">
        <v>703</v>
      </c>
      <c r="C252" t="s">
        <v>198</v>
      </c>
      <c r="D252">
        <v>0.114</v>
      </c>
    </row>
    <row r="253" spans="1:4" x14ac:dyDescent="0.3">
      <c r="A253" t="s">
        <v>704</v>
      </c>
      <c r="B253" t="s">
        <v>705</v>
      </c>
      <c r="C253" t="s">
        <v>200</v>
      </c>
      <c r="D253">
        <v>1.613</v>
      </c>
    </row>
    <row r="254" spans="1:4" x14ac:dyDescent="0.3">
      <c r="A254" t="s">
        <v>706</v>
      </c>
      <c r="B254" t="s">
        <v>707</v>
      </c>
      <c r="C254" t="s">
        <v>199</v>
      </c>
      <c r="D254">
        <v>3.165</v>
      </c>
    </row>
    <row r="255" spans="1:4" x14ac:dyDescent="0.3">
      <c r="A255" t="s">
        <v>708</v>
      </c>
      <c r="B255" t="s">
        <v>709</v>
      </c>
      <c r="C255" t="s">
        <v>199</v>
      </c>
      <c r="D255">
        <v>13.888999999999999</v>
      </c>
    </row>
    <row r="256" spans="1:4" x14ac:dyDescent="0.3">
      <c r="A256" t="s">
        <v>710</v>
      </c>
      <c r="B256" t="s">
        <v>711</v>
      </c>
      <c r="C256" t="s">
        <v>452</v>
      </c>
      <c r="D256">
        <v>9.0540000000000003</v>
      </c>
    </row>
    <row r="257" spans="1:4" x14ac:dyDescent="0.3">
      <c r="A257" t="s">
        <v>712</v>
      </c>
      <c r="B257" t="s">
        <v>713</v>
      </c>
      <c r="C257" t="s">
        <v>257</v>
      </c>
      <c r="D257">
        <v>8.3179999999999996</v>
      </c>
    </row>
    <row r="258" spans="1:4" x14ac:dyDescent="0.3">
      <c r="A258" t="s">
        <v>714</v>
      </c>
      <c r="B258" t="s">
        <v>715</v>
      </c>
      <c r="C258" t="s">
        <v>199</v>
      </c>
      <c r="D258">
        <v>3.073</v>
      </c>
    </row>
    <row r="259" spans="1:4" x14ac:dyDescent="0.3">
      <c r="A259" t="s">
        <v>716</v>
      </c>
      <c r="B259" t="s">
        <v>717</v>
      </c>
      <c r="C259" t="s">
        <v>198</v>
      </c>
      <c r="D259">
        <v>10.786</v>
      </c>
    </row>
    <row r="260" spans="1:4" x14ac:dyDescent="0.3">
      <c r="A260" t="s">
        <v>718</v>
      </c>
      <c r="B260" t="s">
        <v>719</v>
      </c>
      <c r="C260" t="s">
        <v>198</v>
      </c>
      <c r="D260">
        <v>3.5179999999999998</v>
      </c>
    </row>
    <row r="261" spans="1:4" x14ac:dyDescent="0.3">
      <c r="A261" t="s">
        <v>720</v>
      </c>
      <c r="B261" t="s">
        <v>721</v>
      </c>
      <c r="C261" t="s">
        <v>198</v>
      </c>
      <c r="D261">
        <v>23.253</v>
      </c>
    </row>
    <row r="262" spans="1:4" x14ac:dyDescent="0.3">
      <c r="A262" t="s">
        <v>722</v>
      </c>
      <c r="B262" t="s">
        <v>723</v>
      </c>
      <c r="C262" t="s">
        <v>198</v>
      </c>
      <c r="D262">
        <v>58.906999999999996</v>
      </c>
    </row>
    <row r="263" spans="1:4" x14ac:dyDescent="0.3">
      <c r="A263" t="s">
        <v>724</v>
      </c>
      <c r="B263" t="s">
        <v>725</v>
      </c>
      <c r="C263" t="s">
        <v>198</v>
      </c>
      <c r="D263">
        <v>206.56200000000001</v>
      </c>
    </row>
    <row r="264" spans="1:4" x14ac:dyDescent="0.3">
      <c r="A264" t="s">
        <v>726</v>
      </c>
      <c r="B264" t="s">
        <v>727</v>
      </c>
      <c r="C264" t="s">
        <v>728</v>
      </c>
      <c r="D264">
        <v>0.96899999999999997</v>
      </c>
    </row>
    <row r="265" spans="1:4" x14ac:dyDescent="0.3">
      <c r="A265" t="s">
        <v>729</v>
      </c>
      <c r="B265" t="s">
        <v>730</v>
      </c>
      <c r="C265" t="s">
        <v>200</v>
      </c>
      <c r="D265">
        <v>37.506999999999998</v>
      </c>
    </row>
    <row r="266" spans="1:4" x14ac:dyDescent="0.3">
      <c r="A266" t="s">
        <v>731</v>
      </c>
      <c r="B266" t="s">
        <v>732</v>
      </c>
      <c r="C266" t="s">
        <v>198</v>
      </c>
      <c r="D266">
        <v>2.9169999999999998</v>
      </c>
    </row>
    <row r="267" spans="1:4" x14ac:dyDescent="0.3">
      <c r="A267" t="s">
        <v>733</v>
      </c>
      <c r="B267" t="s">
        <v>734</v>
      </c>
      <c r="C267" t="s">
        <v>735</v>
      </c>
      <c r="D267">
        <v>5.1870000000000003</v>
      </c>
    </row>
    <row r="268" spans="1:4" x14ac:dyDescent="0.3">
      <c r="A268" t="s">
        <v>736</v>
      </c>
      <c r="B268" t="s">
        <v>737</v>
      </c>
      <c r="C268" t="s">
        <v>738</v>
      </c>
      <c r="D268">
        <v>30.103000000000002</v>
      </c>
    </row>
    <row r="269" spans="1:4" x14ac:dyDescent="0.3">
      <c r="A269" t="s">
        <v>739</v>
      </c>
      <c r="B269" t="s">
        <v>740</v>
      </c>
      <c r="C269" t="s">
        <v>198</v>
      </c>
      <c r="D269">
        <v>8.4000000000000005E-2</v>
      </c>
    </row>
    <row r="270" spans="1:4" x14ac:dyDescent="0.3">
      <c r="A270" t="s">
        <v>741</v>
      </c>
      <c r="B270" t="s">
        <v>742</v>
      </c>
      <c r="C270" t="s">
        <v>199</v>
      </c>
      <c r="D270">
        <v>24.396000000000001</v>
      </c>
    </row>
    <row r="271" spans="1:4" x14ac:dyDescent="0.3">
      <c r="A271" t="s">
        <v>743</v>
      </c>
      <c r="B271" t="s">
        <v>744</v>
      </c>
      <c r="C271" t="s">
        <v>325</v>
      </c>
      <c r="D271">
        <v>23.928999999999998</v>
      </c>
    </row>
    <row r="272" spans="1:4" x14ac:dyDescent="0.3">
      <c r="A272" t="s">
        <v>745</v>
      </c>
      <c r="B272" t="s">
        <v>746</v>
      </c>
      <c r="C272" t="s">
        <v>198</v>
      </c>
      <c r="D272">
        <v>12.648999999999999</v>
      </c>
    </row>
    <row r="273" spans="1:4" x14ac:dyDescent="0.3">
      <c r="A273" t="s">
        <v>747</v>
      </c>
      <c r="B273" t="s">
        <v>748</v>
      </c>
      <c r="C273" t="s">
        <v>749</v>
      </c>
      <c r="D273">
        <v>10.554</v>
      </c>
    </row>
    <row r="274" spans="1:4" x14ac:dyDescent="0.3">
      <c r="A274" t="s">
        <v>750</v>
      </c>
      <c r="B274" t="s">
        <v>751</v>
      </c>
      <c r="C274" t="s">
        <v>728</v>
      </c>
      <c r="D274">
        <v>0.85699999999999998</v>
      </c>
    </row>
    <row r="275" spans="1:4" x14ac:dyDescent="0.3">
      <c r="A275" t="s">
        <v>752</v>
      </c>
      <c r="B275" t="s">
        <v>753</v>
      </c>
      <c r="C275" t="s">
        <v>452</v>
      </c>
      <c r="D275">
        <v>0.69099999999999995</v>
      </c>
    </row>
    <row r="276" spans="1:4" x14ac:dyDescent="0.3">
      <c r="A276" t="s">
        <v>2022</v>
      </c>
      <c r="B276" t="s">
        <v>2023</v>
      </c>
      <c r="C276" t="s">
        <v>396</v>
      </c>
      <c r="D276">
        <v>182.03200000000001</v>
      </c>
    </row>
    <row r="277" spans="1:4" x14ac:dyDescent="0.3">
      <c r="A277" t="s">
        <v>763</v>
      </c>
      <c r="B277" t="s">
        <v>764</v>
      </c>
      <c r="C277" t="s">
        <v>198</v>
      </c>
      <c r="D277">
        <v>2968.605</v>
      </c>
    </row>
    <row r="278" spans="1:4" x14ac:dyDescent="0.3">
      <c r="A278" t="s">
        <v>765</v>
      </c>
      <c r="B278" t="s">
        <v>766</v>
      </c>
      <c r="C278" t="s">
        <v>767</v>
      </c>
      <c r="D278">
        <v>30.986000000000001</v>
      </c>
    </row>
    <row r="279" spans="1:4" x14ac:dyDescent="0.3">
      <c r="A279" t="s">
        <v>768</v>
      </c>
      <c r="B279" t="s">
        <v>769</v>
      </c>
      <c r="C279" t="s">
        <v>209</v>
      </c>
      <c r="D279">
        <v>24.128</v>
      </c>
    </row>
    <row r="280" spans="1:4" x14ac:dyDescent="0.3">
      <c r="A280" t="s">
        <v>770</v>
      </c>
      <c r="B280" t="s">
        <v>771</v>
      </c>
      <c r="C280" t="s">
        <v>767</v>
      </c>
      <c r="D280">
        <v>0.77400000000000002</v>
      </c>
    </row>
    <row r="281" spans="1:4" x14ac:dyDescent="0.3">
      <c r="A281" t="s">
        <v>772</v>
      </c>
      <c r="B281" t="s">
        <v>773</v>
      </c>
      <c r="C281" t="s">
        <v>774</v>
      </c>
      <c r="D281">
        <v>1.4159999999999999</v>
      </c>
    </row>
    <row r="282" spans="1:4" x14ac:dyDescent="0.3">
      <c r="A282" t="s">
        <v>775</v>
      </c>
      <c r="B282" t="s">
        <v>776</v>
      </c>
      <c r="C282" t="s">
        <v>683</v>
      </c>
      <c r="D282">
        <v>125.557</v>
      </c>
    </row>
    <row r="283" spans="1:4" x14ac:dyDescent="0.3">
      <c r="A283" t="s">
        <v>777</v>
      </c>
      <c r="B283" t="s">
        <v>778</v>
      </c>
      <c r="C283" t="s">
        <v>209</v>
      </c>
      <c r="D283">
        <v>2.3639999999999999</v>
      </c>
    </row>
    <row r="284" spans="1:4" x14ac:dyDescent="0.3">
      <c r="A284" t="s">
        <v>779</v>
      </c>
      <c r="B284" t="s">
        <v>780</v>
      </c>
      <c r="C284" t="s">
        <v>781</v>
      </c>
      <c r="D284">
        <v>42.241999999999997</v>
      </c>
    </row>
    <row r="285" spans="1:4" x14ac:dyDescent="0.3">
      <c r="A285" t="s">
        <v>782</v>
      </c>
      <c r="B285" t="s">
        <v>783</v>
      </c>
      <c r="C285" t="s">
        <v>198</v>
      </c>
      <c r="D285">
        <v>382.78</v>
      </c>
    </row>
    <row r="286" spans="1:4" x14ac:dyDescent="0.3">
      <c r="A286" t="s">
        <v>784</v>
      </c>
      <c r="B286" t="s">
        <v>785</v>
      </c>
      <c r="C286" t="s">
        <v>452</v>
      </c>
      <c r="D286">
        <v>9.2870000000000008</v>
      </c>
    </row>
    <row r="287" spans="1:4" x14ac:dyDescent="0.3">
      <c r="A287" t="s">
        <v>786</v>
      </c>
      <c r="B287" t="s">
        <v>787</v>
      </c>
      <c r="C287" t="s">
        <v>209</v>
      </c>
      <c r="D287">
        <v>1.1539999999999999</v>
      </c>
    </row>
    <row r="288" spans="1:4" x14ac:dyDescent="0.3">
      <c r="A288" t="s">
        <v>788</v>
      </c>
      <c r="B288" t="s">
        <v>789</v>
      </c>
      <c r="C288" t="s">
        <v>553</v>
      </c>
      <c r="D288">
        <v>10.281000000000001</v>
      </c>
    </row>
    <row r="289" spans="1:4" x14ac:dyDescent="0.3">
      <c r="A289" t="s">
        <v>790</v>
      </c>
      <c r="B289" t="s">
        <v>791</v>
      </c>
      <c r="C289" t="s">
        <v>405</v>
      </c>
      <c r="D289">
        <v>106.265</v>
      </c>
    </row>
    <row r="290" spans="1:4" x14ac:dyDescent="0.3">
      <c r="A290" t="s">
        <v>792</v>
      </c>
      <c r="B290" t="s">
        <v>793</v>
      </c>
      <c r="C290" t="s">
        <v>295</v>
      </c>
      <c r="D290">
        <v>1.2809999999999999</v>
      </c>
    </row>
    <row r="291" spans="1:4" x14ac:dyDescent="0.3">
      <c r="A291" t="s">
        <v>794</v>
      </c>
      <c r="B291" t="s">
        <v>795</v>
      </c>
      <c r="C291" t="s">
        <v>199</v>
      </c>
      <c r="D291">
        <v>0.13600000000000001</v>
      </c>
    </row>
    <row r="292" spans="1:4" x14ac:dyDescent="0.3">
      <c r="A292" t="s">
        <v>796</v>
      </c>
      <c r="B292" t="s">
        <v>797</v>
      </c>
      <c r="C292" t="s">
        <v>199</v>
      </c>
      <c r="D292">
        <v>1.4119999999999999</v>
      </c>
    </row>
    <row r="293" spans="1:4" x14ac:dyDescent="0.3">
      <c r="A293" t="s">
        <v>798</v>
      </c>
      <c r="B293" t="s">
        <v>799</v>
      </c>
      <c r="C293" t="s">
        <v>371</v>
      </c>
      <c r="D293">
        <v>15.093</v>
      </c>
    </row>
    <row r="294" spans="1:4" x14ac:dyDescent="0.3">
      <c r="A294" t="s">
        <v>800</v>
      </c>
      <c r="B294" t="s">
        <v>801</v>
      </c>
      <c r="C294" t="s">
        <v>200</v>
      </c>
      <c r="D294">
        <v>414.11500000000001</v>
      </c>
    </row>
    <row r="295" spans="1:4" x14ac:dyDescent="0.3">
      <c r="A295" t="s">
        <v>802</v>
      </c>
      <c r="B295" t="s">
        <v>803</v>
      </c>
      <c r="C295" t="s">
        <v>199</v>
      </c>
      <c r="D295">
        <v>1.071</v>
      </c>
    </row>
    <row r="296" spans="1:4" x14ac:dyDescent="0.3">
      <c r="A296" t="s">
        <v>804</v>
      </c>
      <c r="B296" t="s">
        <v>805</v>
      </c>
      <c r="C296" t="s">
        <v>284</v>
      </c>
      <c r="D296">
        <v>428.19200000000001</v>
      </c>
    </row>
    <row r="297" spans="1:4" x14ac:dyDescent="0.3">
      <c r="A297" t="s">
        <v>806</v>
      </c>
      <c r="B297" t="s">
        <v>807</v>
      </c>
      <c r="C297" t="s">
        <v>808</v>
      </c>
      <c r="D297">
        <v>307.19799999999998</v>
      </c>
    </row>
    <row r="298" spans="1:4" x14ac:dyDescent="0.3">
      <c r="A298" t="s">
        <v>811</v>
      </c>
      <c r="B298" t="s">
        <v>812</v>
      </c>
      <c r="C298" t="s">
        <v>396</v>
      </c>
      <c r="D298">
        <v>321.66899999999998</v>
      </c>
    </row>
    <row r="299" spans="1:4" x14ac:dyDescent="0.3">
      <c r="A299" t="s">
        <v>813</v>
      </c>
      <c r="B299" t="s">
        <v>814</v>
      </c>
      <c r="C299" t="s">
        <v>273</v>
      </c>
      <c r="D299">
        <v>61.286999999999999</v>
      </c>
    </row>
    <row r="300" spans="1:4" x14ac:dyDescent="0.3">
      <c r="A300" t="s">
        <v>815</v>
      </c>
      <c r="B300" t="s">
        <v>816</v>
      </c>
      <c r="C300" t="s">
        <v>198</v>
      </c>
      <c r="D300">
        <v>10.129</v>
      </c>
    </row>
    <row r="301" spans="1:4" x14ac:dyDescent="0.3">
      <c r="A301" t="s">
        <v>817</v>
      </c>
      <c r="B301" t="s">
        <v>818</v>
      </c>
      <c r="C301" t="s">
        <v>819</v>
      </c>
      <c r="D301">
        <v>21.774999999999999</v>
      </c>
    </row>
    <row r="302" spans="1:4" x14ac:dyDescent="0.3">
      <c r="A302" t="s">
        <v>820</v>
      </c>
      <c r="B302" t="s">
        <v>821</v>
      </c>
      <c r="C302" t="s">
        <v>822</v>
      </c>
      <c r="D302">
        <v>78.989000000000004</v>
      </c>
    </row>
    <row r="303" spans="1:4" x14ac:dyDescent="0.3">
      <c r="A303" t="s">
        <v>823</v>
      </c>
      <c r="B303" t="s">
        <v>824</v>
      </c>
      <c r="C303" t="s">
        <v>825</v>
      </c>
      <c r="D303">
        <v>4.7069999999999999</v>
      </c>
    </row>
    <row r="304" spans="1:4" x14ac:dyDescent="0.3">
      <c r="A304" t="s">
        <v>826</v>
      </c>
      <c r="B304" t="s">
        <v>827</v>
      </c>
      <c r="C304" t="s">
        <v>825</v>
      </c>
      <c r="D304">
        <v>31.523</v>
      </c>
    </row>
    <row r="305" spans="1:4" x14ac:dyDescent="0.3">
      <c r="A305" t="s">
        <v>828</v>
      </c>
      <c r="B305" t="s">
        <v>1573</v>
      </c>
      <c r="C305" t="s">
        <v>396</v>
      </c>
      <c r="D305">
        <v>11.044</v>
      </c>
    </row>
    <row r="306" spans="1:4" x14ac:dyDescent="0.3">
      <c r="A306" t="s">
        <v>830</v>
      </c>
      <c r="B306" t="s">
        <v>831</v>
      </c>
      <c r="C306" t="s">
        <v>198</v>
      </c>
      <c r="D306">
        <v>6.9000000000000006E-2</v>
      </c>
    </row>
    <row r="307" spans="1:4" x14ac:dyDescent="0.3">
      <c r="A307" t="s">
        <v>832</v>
      </c>
      <c r="B307" t="s">
        <v>833</v>
      </c>
      <c r="C307" t="s">
        <v>834</v>
      </c>
      <c r="D307">
        <v>83.620999999999995</v>
      </c>
    </row>
    <row r="308" spans="1:4" x14ac:dyDescent="0.3">
      <c r="A308" t="s">
        <v>1574</v>
      </c>
      <c r="B308" t="s">
        <v>1575</v>
      </c>
      <c r="C308" t="s">
        <v>1576</v>
      </c>
      <c r="D308">
        <v>10.677</v>
      </c>
    </row>
    <row r="309" spans="1:4" x14ac:dyDescent="0.3">
      <c r="A309" t="s">
        <v>835</v>
      </c>
      <c r="B309" t="s">
        <v>836</v>
      </c>
      <c r="C309" t="s">
        <v>381</v>
      </c>
      <c r="D309">
        <v>6.4779999999999998</v>
      </c>
    </row>
    <row r="310" spans="1:4" x14ac:dyDescent="0.3">
      <c r="A310" t="s">
        <v>837</v>
      </c>
      <c r="B310" t="s">
        <v>838</v>
      </c>
      <c r="C310" t="s">
        <v>839</v>
      </c>
      <c r="D310">
        <v>115.648</v>
      </c>
    </row>
    <row r="311" spans="1:4" x14ac:dyDescent="0.3">
      <c r="A311" t="s">
        <v>842</v>
      </c>
      <c r="B311" t="s">
        <v>843</v>
      </c>
      <c r="C311" t="s">
        <v>325</v>
      </c>
      <c r="D311">
        <v>53.558</v>
      </c>
    </row>
    <row r="312" spans="1:4" x14ac:dyDescent="0.3">
      <c r="A312" t="s">
        <v>844</v>
      </c>
      <c r="B312" t="s">
        <v>845</v>
      </c>
      <c r="C312" t="s">
        <v>199</v>
      </c>
      <c r="D312">
        <v>125.158</v>
      </c>
    </row>
    <row r="313" spans="1:4" x14ac:dyDescent="0.3">
      <c r="A313" t="s">
        <v>846</v>
      </c>
      <c r="B313" t="s">
        <v>847</v>
      </c>
      <c r="C313" t="s">
        <v>848</v>
      </c>
      <c r="D313">
        <v>1.921</v>
      </c>
    </row>
    <row r="314" spans="1:4" x14ac:dyDescent="0.3">
      <c r="A314" t="s">
        <v>849</v>
      </c>
      <c r="B314" t="s">
        <v>850</v>
      </c>
      <c r="C314" t="s">
        <v>491</v>
      </c>
      <c r="D314">
        <v>4.2210000000000001</v>
      </c>
    </row>
    <row r="315" spans="1:4" x14ac:dyDescent="0.3">
      <c r="A315" t="s">
        <v>851</v>
      </c>
      <c r="B315" t="s">
        <v>850</v>
      </c>
      <c r="C315" t="s">
        <v>852</v>
      </c>
      <c r="D315">
        <v>5.89</v>
      </c>
    </row>
    <row r="316" spans="1:4" x14ac:dyDescent="0.3">
      <c r="A316" t="s">
        <v>853</v>
      </c>
      <c r="B316" t="s">
        <v>854</v>
      </c>
      <c r="C316" t="s">
        <v>198</v>
      </c>
      <c r="D316">
        <v>87.67</v>
      </c>
    </row>
    <row r="317" spans="1:4" x14ac:dyDescent="0.3">
      <c r="A317" t="s">
        <v>855</v>
      </c>
      <c r="B317" t="s">
        <v>856</v>
      </c>
      <c r="C317" t="s">
        <v>405</v>
      </c>
      <c r="D317">
        <v>32.944000000000003</v>
      </c>
    </row>
    <row r="318" spans="1:4" x14ac:dyDescent="0.3">
      <c r="A318" t="s">
        <v>857</v>
      </c>
      <c r="B318" t="s">
        <v>858</v>
      </c>
      <c r="C318" t="s">
        <v>273</v>
      </c>
      <c r="D318">
        <v>0.66900000000000004</v>
      </c>
    </row>
    <row r="319" spans="1:4" x14ac:dyDescent="0.3">
      <c r="A319" t="s">
        <v>1948</v>
      </c>
      <c r="B319" t="s">
        <v>1949</v>
      </c>
      <c r="C319" t="s">
        <v>198</v>
      </c>
      <c r="D319">
        <v>16.006</v>
      </c>
    </row>
    <row r="320" spans="1:4" x14ac:dyDescent="0.3">
      <c r="A320" t="s">
        <v>859</v>
      </c>
      <c r="B320" t="s">
        <v>860</v>
      </c>
      <c r="C320" t="s">
        <v>371</v>
      </c>
      <c r="D320">
        <v>41.228999999999999</v>
      </c>
    </row>
    <row r="321" spans="1:4" x14ac:dyDescent="0.3">
      <c r="A321" t="s">
        <v>863</v>
      </c>
      <c r="B321" t="s">
        <v>864</v>
      </c>
      <c r="C321" t="s">
        <v>198</v>
      </c>
      <c r="D321">
        <v>1.661</v>
      </c>
    </row>
    <row r="322" spans="1:4" x14ac:dyDescent="0.3">
      <c r="A322" t="s">
        <v>865</v>
      </c>
      <c r="B322" t="s">
        <v>866</v>
      </c>
      <c r="C322" t="s">
        <v>199</v>
      </c>
      <c r="D322">
        <v>6.3959999999999999</v>
      </c>
    </row>
    <row r="323" spans="1:4" x14ac:dyDescent="0.3">
      <c r="A323" t="s">
        <v>867</v>
      </c>
      <c r="B323" t="s">
        <v>868</v>
      </c>
      <c r="C323" t="s">
        <v>198</v>
      </c>
      <c r="D323">
        <v>134.62100000000001</v>
      </c>
    </row>
    <row r="324" spans="1:4" x14ac:dyDescent="0.3">
      <c r="A324" t="s">
        <v>869</v>
      </c>
      <c r="B324" t="s">
        <v>870</v>
      </c>
      <c r="C324" t="s">
        <v>198</v>
      </c>
      <c r="D324">
        <v>1.802</v>
      </c>
    </row>
    <row r="325" spans="1:4" x14ac:dyDescent="0.3">
      <c r="A325" t="s">
        <v>1577</v>
      </c>
      <c r="B325" t="s">
        <v>1578</v>
      </c>
      <c r="C325" t="s">
        <v>198</v>
      </c>
      <c r="D325">
        <v>9.3330000000000002</v>
      </c>
    </row>
    <row r="326" spans="1:4" x14ac:dyDescent="0.3">
      <c r="A326" t="s">
        <v>871</v>
      </c>
      <c r="B326" t="s">
        <v>872</v>
      </c>
      <c r="C326" t="s">
        <v>198</v>
      </c>
      <c r="D326">
        <v>4.9000000000000002E-2</v>
      </c>
    </row>
    <row r="327" spans="1:4" x14ac:dyDescent="0.3">
      <c r="A327" t="s">
        <v>873</v>
      </c>
      <c r="B327" t="s">
        <v>874</v>
      </c>
      <c r="C327" t="s">
        <v>198</v>
      </c>
      <c r="D327">
        <v>1.607</v>
      </c>
    </row>
    <row r="328" spans="1:4" x14ac:dyDescent="0.3">
      <c r="A328" t="s">
        <v>875</v>
      </c>
      <c r="B328" t="s">
        <v>876</v>
      </c>
      <c r="C328" t="s">
        <v>209</v>
      </c>
      <c r="D328">
        <v>32.021000000000001</v>
      </c>
    </row>
    <row r="329" spans="1:4" x14ac:dyDescent="0.3">
      <c r="A329" t="s">
        <v>877</v>
      </c>
      <c r="B329" t="s">
        <v>878</v>
      </c>
      <c r="C329" t="s">
        <v>879</v>
      </c>
      <c r="D329">
        <v>1858.04</v>
      </c>
    </row>
    <row r="330" spans="1:4" x14ac:dyDescent="0.3">
      <c r="A330" t="s">
        <v>1950</v>
      </c>
      <c r="B330" t="s">
        <v>1951</v>
      </c>
      <c r="C330" t="s">
        <v>199</v>
      </c>
      <c r="D330">
        <v>315.88</v>
      </c>
    </row>
    <row r="331" spans="1:4" x14ac:dyDescent="0.3">
      <c r="A331" t="s">
        <v>880</v>
      </c>
      <c r="B331" t="s">
        <v>881</v>
      </c>
      <c r="C331" t="s">
        <v>198</v>
      </c>
      <c r="D331">
        <v>1.056</v>
      </c>
    </row>
    <row r="332" spans="1:4" x14ac:dyDescent="0.3">
      <c r="A332" t="s">
        <v>882</v>
      </c>
      <c r="B332" t="s">
        <v>883</v>
      </c>
      <c r="C332" t="s">
        <v>198</v>
      </c>
      <c r="D332">
        <v>133.59399999999999</v>
      </c>
    </row>
    <row r="333" spans="1:4" x14ac:dyDescent="0.3">
      <c r="A333" t="s">
        <v>884</v>
      </c>
      <c r="B333" t="s">
        <v>885</v>
      </c>
      <c r="C333" t="s">
        <v>442</v>
      </c>
      <c r="D333">
        <v>42.759</v>
      </c>
    </row>
    <row r="334" spans="1:4" x14ac:dyDescent="0.3">
      <c r="A334" t="s">
        <v>886</v>
      </c>
      <c r="B334" t="s">
        <v>887</v>
      </c>
      <c r="C334" t="s">
        <v>494</v>
      </c>
      <c r="D334">
        <v>4.1180000000000003</v>
      </c>
    </row>
    <row r="335" spans="1:4" x14ac:dyDescent="0.3">
      <c r="A335" t="s">
        <v>888</v>
      </c>
      <c r="B335" t="s">
        <v>889</v>
      </c>
      <c r="C335" t="s">
        <v>198</v>
      </c>
      <c r="D335">
        <v>5.7320000000000002</v>
      </c>
    </row>
    <row r="336" spans="1:4" x14ac:dyDescent="0.3">
      <c r="A336" t="s">
        <v>890</v>
      </c>
      <c r="B336" t="s">
        <v>891</v>
      </c>
      <c r="C336" t="s">
        <v>198</v>
      </c>
      <c r="D336">
        <v>57.472999999999999</v>
      </c>
    </row>
    <row r="337" spans="1:4" x14ac:dyDescent="0.3">
      <c r="A337" t="s">
        <v>892</v>
      </c>
      <c r="B337" t="s">
        <v>893</v>
      </c>
      <c r="C337" t="s">
        <v>198</v>
      </c>
      <c r="D337">
        <v>3.89</v>
      </c>
    </row>
    <row r="338" spans="1:4" x14ac:dyDescent="0.3">
      <c r="A338" t="s">
        <v>894</v>
      </c>
      <c r="B338" t="s">
        <v>895</v>
      </c>
      <c r="C338" t="s">
        <v>199</v>
      </c>
      <c r="D338">
        <v>1.109</v>
      </c>
    </row>
    <row r="339" spans="1:4" x14ac:dyDescent="0.3">
      <c r="A339" t="s">
        <v>896</v>
      </c>
      <c r="B339" t="s">
        <v>897</v>
      </c>
      <c r="C339" t="s">
        <v>198</v>
      </c>
      <c r="D339">
        <v>17.626999999999999</v>
      </c>
    </row>
    <row r="340" spans="1:4" x14ac:dyDescent="0.3">
      <c r="A340" t="s">
        <v>898</v>
      </c>
      <c r="B340" t="s">
        <v>899</v>
      </c>
      <c r="C340" t="s">
        <v>670</v>
      </c>
      <c r="D340">
        <v>337.005</v>
      </c>
    </row>
    <row r="341" spans="1:4" x14ac:dyDescent="0.3">
      <c r="A341" t="s">
        <v>900</v>
      </c>
      <c r="B341" t="s">
        <v>901</v>
      </c>
      <c r="C341" t="s">
        <v>198</v>
      </c>
      <c r="D341">
        <v>170.81899999999999</v>
      </c>
    </row>
    <row r="342" spans="1:4" x14ac:dyDescent="0.3">
      <c r="A342" t="s">
        <v>902</v>
      </c>
      <c r="B342" t="s">
        <v>903</v>
      </c>
      <c r="C342" t="s">
        <v>198</v>
      </c>
      <c r="D342">
        <v>11.615</v>
      </c>
    </row>
    <row r="343" spans="1:4" x14ac:dyDescent="0.3">
      <c r="A343" t="s">
        <v>904</v>
      </c>
      <c r="B343" t="s">
        <v>905</v>
      </c>
      <c r="C343" t="s">
        <v>200</v>
      </c>
      <c r="D343">
        <v>7.0679999999999996</v>
      </c>
    </row>
    <row r="344" spans="1:4" x14ac:dyDescent="0.3">
      <c r="A344" t="s">
        <v>906</v>
      </c>
      <c r="B344" t="s">
        <v>907</v>
      </c>
      <c r="C344" t="s">
        <v>284</v>
      </c>
      <c r="D344">
        <v>2.7759999999999998</v>
      </c>
    </row>
    <row r="345" spans="1:4" x14ac:dyDescent="0.3">
      <c r="A345" t="s">
        <v>908</v>
      </c>
      <c r="B345" t="s">
        <v>909</v>
      </c>
      <c r="C345" t="s">
        <v>198</v>
      </c>
      <c r="D345">
        <v>21.292999999999999</v>
      </c>
    </row>
    <row r="346" spans="1:4" x14ac:dyDescent="0.3">
      <c r="A346" t="s">
        <v>910</v>
      </c>
      <c r="B346" t="s">
        <v>911</v>
      </c>
      <c r="C346" t="s">
        <v>360</v>
      </c>
      <c r="D346">
        <v>359.79599999999999</v>
      </c>
    </row>
    <row r="347" spans="1:4" x14ac:dyDescent="0.3">
      <c r="A347" t="s">
        <v>912</v>
      </c>
      <c r="B347" t="s">
        <v>913</v>
      </c>
      <c r="C347" t="s">
        <v>273</v>
      </c>
      <c r="D347">
        <v>11.242000000000001</v>
      </c>
    </row>
    <row r="348" spans="1:4" x14ac:dyDescent="0.3">
      <c r="A348" t="s">
        <v>914</v>
      </c>
      <c r="B348" t="s">
        <v>915</v>
      </c>
      <c r="C348" t="s">
        <v>553</v>
      </c>
      <c r="D348">
        <v>8.43</v>
      </c>
    </row>
    <row r="349" spans="1:4" x14ac:dyDescent="0.3">
      <c r="A349" t="s">
        <v>916</v>
      </c>
      <c r="B349" t="s">
        <v>917</v>
      </c>
      <c r="C349" t="s">
        <v>257</v>
      </c>
      <c r="D349">
        <v>2.8210000000000002</v>
      </c>
    </row>
    <row r="350" spans="1:4" x14ac:dyDescent="0.3">
      <c r="A350" t="s">
        <v>918</v>
      </c>
      <c r="B350" t="s">
        <v>919</v>
      </c>
      <c r="C350" t="s">
        <v>257</v>
      </c>
      <c r="D350">
        <v>5.6890000000000001</v>
      </c>
    </row>
    <row r="351" spans="1:4" x14ac:dyDescent="0.3">
      <c r="A351" t="s">
        <v>920</v>
      </c>
      <c r="B351" t="s">
        <v>921</v>
      </c>
      <c r="C351" t="s">
        <v>922</v>
      </c>
      <c r="D351">
        <v>1.7989999999999999</v>
      </c>
    </row>
    <row r="352" spans="1:4" x14ac:dyDescent="0.3">
      <c r="A352" t="s">
        <v>923</v>
      </c>
      <c r="B352" t="s">
        <v>924</v>
      </c>
      <c r="C352" t="s">
        <v>198</v>
      </c>
      <c r="D352">
        <v>3.423</v>
      </c>
    </row>
    <row r="353" spans="1:4" x14ac:dyDescent="0.3">
      <c r="A353" t="s">
        <v>925</v>
      </c>
      <c r="B353" t="s">
        <v>926</v>
      </c>
      <c r="C353" t="s">
        <v>199</v>
      </c>
      <c r="D353">
        <v>1.827</v>
      </c>
    </row>
    <row r="354" spans="1:4" x14ac:dyDescent="0.3">
      <c r="A354" t="s">
        <v>927</v>
      </c>
      <c r="B354" t="s">
        <v>928</v>
      </c>
      <c r="C354" t="s">
        <v>354</v>
      </c>
      <c r="D354">
        <v>0.47099999999999997</v>
      </c>
    </row>
    <row r="355" spans="1:4" x14ac:dyDescent="0.3">
      <c r="A355" t="s">
        <v>929</v>
      </c>
      <c r="B355" t="s">
        <v>930</v>
      </c>
      <c r="C355" t="s">
        <v>931</v>
      </c>
      <c r="D355">
        <v>0.36099999999999999</v>
      </c>
    </row>
    <row r="356" spans="1:4" x14ac:dyDescent="0.3">
      <c r="A356" t="s">
        <v>932</v>
      </c>
      <c r="B356" t="s">
        <v>933</v>
      </c>
      <c r="C356" t="s">
        <v>284</v>
      </c>
      <c r="D356">
        <v>0.61</v>
      </c>
    </row>
    <row r="357" spans="1:4" x14ac:dyDescent="0.3">
      <c r="A357" t="s">
        <v>934</v>
      </c>
      <c r="B357" t="s">
        <v>935</v>
      </c>
      <c r="C357" t="s">
        <v>936</v>
      </c>
      <c r="D357">
        <v>0.14799999999999999</v>
      </c>
    </row>
    <row r="358" spans="1:4" x14ac:dyDescent="0.3">
      <c r="A358" t="s">
        <v>937</v>
      </c>
      <c r="B358" t="s">
        <v>938</v>
      </c>
      <c r="C358" t="s">
        <v>199</v>
      </c>
      <c r="D358">
        <v>1.5109999999999999</v>
      </c>
    </row>
    <row r="359" spans="1:4" x14ac:dyDescent="0.3">
      <c r="A359" t="s">
        <v>939</v>
      </c>
      <c r="B359" t="s">
        <v>940</v>
      </c>
      <c r="C359" t="s">
        <v>199</v>
      </c>
      <c r="D359">
        <v>13.382</v>
      </c>
    </row>
    <row r="360" spans="1:4" x14ac:dyDescent="0.3">
      <c r="A360" t="s">
        <v>941</v>
      </c>
      <c r="B360" t="s">
        <v>942</v>
      </c>
      <c r="C360" t="s">
        <v>198</v>
      </c>
      <c r="D360">
        <v>5.7670000000000003</v>
      </c>
    </row>
    <row r="361" spans="1:4" x14ac:dyDescent="0.3">
      <c r="A361" t="s">
        <v>943</v>
      </c>
      <c r="B361" t="s">
        <v>944</v>
      </c>
      <c r="C361" t="s">
        <v>945</v>
      </c>
      <c r="D361">
        <v>2.7349999999999999</v>
      </c>
    </row>
    <row r="362" spans="1:4" x14ac:dyDescent="0.3">
      <c r="A362" t="s">
        <v>946</v>
      </c>
      <c r="B362" t="s">
        <v>944</v>
      </c>
      <c r="C362" t="s">
        <v>947</v>
      </c>
      <c r="D362">
        <v>1.3680000000000001</v>
      </c>
    </row>
    <row r="363" spans="1:4" x14ac:dyDescent="0.3">
      <c r="A363" t="s">
        <v>948</v>
      </c>
      <c r="B363" t="s">
        <v>949</v>
      </c>
      <c r="C363" t="s">
        <v>947</v>
      </c>
      <c r="D363">
        <v>1.0549999999999999</v>
      </c>
    </row>
    <row r="364" spans="1:4" x14ac:dyDescent="0.3">
      <c r="A364" t="s">
        <v>950</v>
      </c>
      <c r="B364" t="s">
        <v>944</v>
      </c>
      <c r="C364" t="s">
        <v>951</v>
      </c>
      <c r="D364">
        <v>0.68400000000000005</v>
      </c>
    </row>
    <row r="365" spans="1:4" x14ac:dyDescent="0.3">
      <c r="A365" t="s">
        <v>952</v>
      </c>
      <c r="B365" t="s">
        <v>953</v>
      </c>
      <c r="C365" t="s">
        <v>947</v>
      </c>
      <c r="D365">
        <v>1.736</v>
      </c>
    </row>
    <row r="366" spans="1:4" x14ac:dyDescent="0.3">
      <c r="A366" t="s">
        <v>954</v>
      </c>
      <c r="B366" t="s">
        <v>955</v>
      </c>
      <c r="C366" t="s">
        <v>956</v>
      </c>
      <c r="D366">
        <v>3.4729999999999999</v>
      </c>
    </row>
    <row r="367" spans="1:4" x14ac:dyDescent="0.3">
      <c r="A367" t="s">
        <v>957</v>
      </c>
      <c r="B367" t="s">
        <v>958</v>
      </c>
      <c r="C367" t="s">
        <v>956</v>
      </c>
      <c r="D367">
        <v>2.4710000000000001</v>
      </c>
    </row>
    <row r="368" spans="1:4" x14ac:dyDescent="0.3">
      <c r="A368" t="s">
        <v>959</v>
      </c>
      <c r="B368" t="s">
        <v>960</v>
      </c>
      <c r="C368" t="s">
        <v>396</v>
      </c>
      <c r="D368">
        <v>48.747999999999998</v>
      </c>
    </row>
    <row r="369" spans="1:4" x14ac:dyDescent="0.3">
      <c r="A369" t="s">
        <v>961</v>
      </c>
      <c r="B369" t="s">
        <v>962</v>
      </c>
      <c r="C369" t="s">
        <v>963</v>
      </c>
      <c r="D369">
        <v>8.1999999999999993</v>
      </c>
    </row>
    <row r="370" spans="1:4" x14ac:dyDescent="0.3">
      <c r="A370" t="s">
        <v>1579</v>
      </c>
      <c r="B370" t="s">
        <v>1580</v>
      </c>
      <c r="C370" t="s">
        <v>198</v>
      </c>
      <c r="D370">
        <v>1.091</v>
      </c>
    </row>
    <row r="371" spans="1:4" x14ac:dyDescent="0.3">
      <c r="A371" t="s">
        <v>964</v>
      </c>
      <c r="B371" t="s">
        <v>965</v>
      </c>
      <c r="C371" t="s">
        <v>963</v>
      </c>
      <c r="D371">
        <v>1.298</v>
      </c>
    </row>
    <row r="372" spans="1:4" x14ac:dyDescent="0.3">
      <c r="A372" t="s">
        <v>966</v>
      </c>
      <c r="B372" t="s">
        <v>967</v>
      </c>
      <c r="C372" t="s">
        <v>963</v>
      </c>
      <c r="D372">
        <v>1.8420000000000001</v>
      </c>
    </row>
    <row r="373" spans="1:4" x14ac:dyDescent="0.3">
      <c r="A373" t="s">
        <v>968</v>
      </c>
      <c r="B373" t="s">
        <v>969</v>
      </c>
      <c r="C373" t="s">
        <v>963</v>
      </c>
      <c r="D373">
        <v>9.1349999999999998</v>
      </c>
    </row>
    <row r="374" spans="1:4" x14ac:dyDescent="0.3">
      <c r="A374" t="s">
        <v>970</v>
      </c>
      <c r="B374" t="s">
        <v>971</v>
      </c>
      <c r="C374" t="s">
        <v>963</v>
      </c>
      <c r="D374">
        <v>16.120999999999999</v>
      </c>
    </row>
    <row r="375" spans="1:4" x14ac:dyDescent="0.3">
      <c r="A375" t="s">
        <v>972</v>
      </c>
      <c r="B375" t="s">
        <v>973</v>
      </c>
      <c r="C375" t="s">
        <v>963</v>
      </c>
      <c r="D375">
        <v>1.5249999999999999</v>
      </c>
    </row>
    <row r="376" spans="1:4" x14ac:dyDescent="0.3">
      <c r="A376" t="s">
        <v>974</v>
      </c>
      <c r="B376" t="s">
        <v>975</v>
      </c>
      <c r="C376" t="s">
        <v>976</v>
      </c>
      <c r="D376">
        <v>1.1419999999999999</v>
      </c>
    </row>
    <row r="377" spans="1:4" x14ac:dyDescent="0.3">
      <c r="A377" t="s">
        <v>977</v>
      </c>
      <c r="B377" t="s">
        <v>978</v>
      </c>
      <c r="C377" t="s">
        <v>963</v>
      </c>
      <c r="D377">
        <v>1.2649999999999999</v>
      </c>
    </row>
    <row r="378" spans="1:4" x14ac:dyDescent="0.3">
      <c r="A378" t="s">
        <v>979</v>
      </c>
      <c r="B378" t="s">
        <v>980</v>
      </c>
      <c r="C378" t="s">
        <v>981</v>
      </c>
      <c r="D378">
        <v>1.1319999999999999</v>
      </c>
    </row>
    <row r="379" spans="1:4" x14ac:dyDescent="0.3">
      <c r="A379" t="s">
        <v>982</v>
      </c>
      <c r="B379" t="s">
        <v>983</v>
      </c>
      <c r="C379" t="s">
        <v>963</v>
      </c>
      <c r="D379">
        <v>1.2629999999999999</v>
      </c>
    </row>
    <row r="380" spans="1:4" x14ac:dyDescent="0.3">
      <c r="A380" t="s">
        <v>984</v>
      </c>
      <c r="B380" t="s">
        <v>985</v>
      </c>
      <c r="C380" t="s">
        <v>963</v>
      </c>
      <c r="D380">
        <v>3.1970000000000001</v>
      </c>
    </row>
    <row r="381" spans="1:4" x14ac:dyDescent="0.3">
      <c r="A381" t="s">
        <v>986</v>
      </c>
      <c r="B381" t="s">
        <v>1983</v>
      </c>
      <c r="C381" t="s">
        <v>452</v>
      </c>
      <c r="D381">
        <v>2.3069999999999999</v>
      </c>
    </row>
    <row r="382" spans="1:4" x14ac:dyDescent="0.3">
      <c r="A382" t="s">
        <v>988</v>
      </c>
      <c r="B382" t="s">
        <v>989</v>
      </c>
      <c r="C382" t="s">
        <v>963</v>
      </c>
      <c r="D382">
        <v>1.111</v>
      </c>
    </row>
    <row r="383" spans="1:4" x14ac:dyDescent="0.3">
      <c r="A383" t="s">
        <v>990</v>
      </c>
      <c r="B383" t="s">
        <v>991</v>
      </c>
      <c r="C383" t="s">
        <v>963</v>
      </c>
      <c r="D383">
        <v>1.427</v>
      </c>
    </row>
    <row r="384" spans="1:4" x14ac:dyDescent="0.3">
      <c r="A384" t="s">
        <v>992</v>
      </c>
      <c r="B384" t="s">
        <v>993</v>
      </c>
      <c r="C384" t="s">
        <v>963</v>
      </c>
      <c r="D384">
        <v>1.165</v>
      </c>
    </row>
    <row r="385" spans="1:4" x14ac:dyDescent="0.3">
      <c r="A385" t="s">
        <v>994</v>
      </c>
      <c r="B385" t="s">
        <v>995</v>
      </c>
      <c r="C385" t="s">
        <v>963</v>
      </c>
      <c r="D385">
        <v>1.5329999999999999</v>
      </c>
    </row>
    <row r="386" spans="1:4" x14ac:dyDescent="0.3">
      <c r="A386" t="s">
        <v>996</v>
      </c>
      <c r="B386" t="s">
        <v>997</v>
      </c>
      <c r="C386" t="s">
        <v>963</v>
      </c>
      <c r="D386">
        <v>1.59</v>
      </c>
    </row>
    <row r="387" spans="1:4" x14ac:dyDescent="0.3">
      <c r="A387" t="s">
        <v>998</v>
      </c>
      <c r="B387" t="s">
        <v>999</v>
      </c>
      <c r="C387" t="s">
        <v>963</v>
      </c>
      <c r="D387">
        <v>3.55</v>
      </c>
    </row>
    <row r="388" spans="1:4" x14ac:dyDescent="0.3">
      <c r="A388" t="s">
        <v>1000</v>
      </c>
      <c r="B388" t="s">
        <v>1001</v>
      </c>
      <c r="C388" t="s">
        <v>963</v>
      </c>
      <c r="D388">
        <v>2.2040000000000002</v>
      </c>
    </row>
    <row r="389" spans="1:4" x14ac:dyDescent="0.3">
      <c r="A389" t="s">
        <v>1002</v>
      </c>
      <c r="B389" t="s">
        <v>1003</v>
      </c>
      <c r="C389" t="s">
        <v>963</v>
      </c>
      <c r="D389">
        <v>1.446</v>
      </c>
    </row>
    <row r="390" spans="1:4" x14ac:dyDescent="0.3">
      <c r="A390" t="s">
        <v>1004</v>
      </c>
      <c r="B390" t="s">
        <v>1005</v>
      </c>
      <c r="C390" t="s">
        <v>963</v>
      </c>
      <c r="D390">
        <v>3.145</v>
      </c>
    </row>
    <row r="391" spans="1:4" x14ac:dyDescent="0.3">
      <c r="A391" t="s">
        <v>1006</v>
      </c>
      <c r="B391" t="s">
        <v>1007</v>
      </c>
      <c r="C391" t="s">
        <v>963</v>
      </c>
      <c r="D391">
        <v>4.6050000000000004</v>
      </c>
    </row>
    <row r="392" spans="1:4" x14ac:dyDescent="0.3">
      <c r="A392" t="s">
        <v>1581</v>
      </c>
      <c r="B392" t="s">
        <v>1582</v>
      </c>
      <c r="C392" t="s">
        <v>198</v>
      </c>
      <c r="D392">
        <v>4.2690000000000001</v>
      </c>
    </row>
    <row r="393" spans="1:4" x14ac:dyDescent="0.3">
      <c r="A393" t="s">
        <v>1952</v>
      </c>
      <c r="B393" t="s">
        <v>1953</v>
      </c>
      <c r="C393" t="s">
        <v>963</v>
      </c>
      <c r="D393">
        <v>2.1829999999999998</v>
      </c>
    </row>
    <row r="394" spans="1:4" x14ac:dyDescent="0.3">
      <c r="A394" t="s">
        <v>1008</v>
      </c>
      <c r="B394" t="s">
        <v>1009</v>
      </c>
      <c r="C394" t="s">
        <v>963</v>
      </c>
      <c r="D394">
        <v>2.117</v>
      </c>
    </row>
    <row r="395" spans="1:4" x14ac:dyDescent="0.3">
      <c r="A395" t="s">
        <v>1010</v>
      </c>
      <c r="B395" t="s">
        <v>1011</v>
      </c>
      <c r="C395" t="s">
        <v>963</v>
      </c>
      <c r="D395">
        <v>1.944</v>
      </c>
    </row>
    <row r="396" spans="1:4" x14ac:dyDescent="0.3">
      <c r="A396" t="s">
        <v>1012</v>
      </c>
      <c r="B396" t="s">
        <v>1583</v>
      </c>
      <c r="C396" t="s">
        <v>963</v>
      </c>
      <c r="D396">
        <v>2.1070000000000002</v>
      </c>
    </row>
    <row r="397" spans="1:4" x14ac:dyDescent="0.3">
      <c r="A397" t="s">
        <v>1014</v>
      </c>
      <c r="B397" t="s">
        <v>1015</v>
      </c>
      <c r="C397" t="s">
        <v>963</v>
      </c>
      <c r="D397">
        <v>1.2969999999999999</v>
      </c>
    </row>
    <row r="398" spans="1:4" x14ac:dyDescent="0.3">
      <c r="A398" t="s">
        <v>1016</v>
      </c>
      <c r="B398" t="s">
        <v>1584</v>
      </c>
      <c r="C398" t="s">
        <v>963</v>
      </c>
      <c r="D398">
        <v>1.3540000000000001</v>
      </c>
    </row>
    <row r="399" spans="1:4" x14ac:dyDescent="0.3">
      <c r="A399" t="s">
        <v>1018</v>
      </c>
      <c r="B399" t="s">
        <v>1019</v>
      </c>
      <c r="C399" t="s">
        <v>963</v>
      </c>
      <c r="D399">
        <v>1.226</v>
      </c>
    </row>
    <row r="400" spans="1:4" x14ac:dyDescent="0.3">
      <c r="A400" t="s">
        <v>1984</v>
      </c>
      <c r="B400" t="s">
        <v>1985</v>
      </c>
      <c r="C400" t="s">
        <v>452</v>
      </c>
      <c r="D400">
        <v>2.202</v>
      </c>
    </row>
    <row r="401" spans="1:4" x14ac:dyDescent="0.3">
      <c r="A401" t="s">
        <v>1020</v>
      </c>
      <c r="B401" t="s">
        <v>1021</v>
      </c>
      <c r="C401" t="s">
        <v>1022</v>
      </c>
      <c r="D401">
        <v>391.42500000000001</v>
      </c>
    </row>
    <row r="402" spans="1:4" x14ac:dyDescent="0.3">
      <c r="A402" t="s">
        <v>1023</v>
      </c>
      <c r="B402" t="s">
        <v>1585</v>
      </c>
      <c r="C402" t="s">
        <v>318</v>
      </c>
      <c r="D402">
        <v>324.08699999999999</v>
      </c>
    </row>
    <row r="403" spans="1:4" x14ac:dyDescent="0.3">
      <c r="A403" t="s">
        <v>1026</v>
      </c>
      <c r="B403" t="s">
        <v>1027</v>
      </c>
      <c r="C403" t="s">
        <v>273</v>
      </c>
      <c r="D403">
        <v>199.995</v>
      </c>
    </row>
    <row r="404" spans="1:4" x14ac:dyDescent="0.3">
      <c r="A404" t="s">
        <v>1028</v>
      </c>
      <c r="B404" t="s">
        <v>1586</v>
      </c>
      <c r="C404" t="s">
        <v>318</v>
      </c>
      <c r="D404">
        <v>490.947</v>
      </c>
    </row>
    <row r="405" spans="1:4" x14ac:dyDescent="0.3">
      <c r="A405" t="s">
        <v>1625</v>
      </c>
      <c r="B405" t="s">
        <v>1626</v>
      </c>
      <c r="C405" t="s">
        <v>318</v>
      </c>
      <c r="D405">
        <v>518.46900000000005</v>
      </c>
    </row>
    <row r="406" spans="1:4" x14ac:dyDescent="0.3">
      <c r="A406" t="s">
        <v>1033</v>
      </c>
      <c r="B406" t="s">
        <v>1034</v>
      </c>
      <c r="C406" t="s">
        <v>1035</v>
      </c>
      <c r="D406">
        <v>75.938999999999993</v>
      </c>
    </row>
    <row r="407" spans="1:4" x14ac:dyDescent="0.3">
      <c r="A407" t="s">
        <v>1036</v>
      </c>
      <c r="B407" t="s">
        <v>1037</v>
      </c>
      <c r="C407" t="s">
        <v>1035</v>
      </c>
      <c r="D407">
        <v>135.23500000000001</v>
      </c>
    </row>
    <row r="408" spans="1:4" x14ac:dyDescent="0.3">
      <c r="A408" t="s">
        <v>1587</v>
      </c>
      <c r="B408" t="s">
        <v>1588</v>
      </c>
      <c r="C408" t="s">
        <v>1589</v>
      </c>
      <c r="D408">
        <v>147.751</v>
      </c>
    </row>
    <row r="409" spans="1:4" x14ac:dyDescent="0.3">
      <c r="A409" t="s">
        <v>1038</v>
      </c>
      <c r="B409" t="s">
        <v>1039</v>
      </c>
      <c r="C409" t="s">
        <v>198</v>
      </c>
      <c r="D409">
        <v>10.433999999999999</v>
      </c>
    </row>
    <row r="410" spans="1:4" x14ac:dyDescent="0.3">
      <c r="A410" t="s">
        <v>1590</v>
      </c>
      <c r="B410" t="s">
        <v>1591</v>
      </c>
      <c r="C410" t="s">
        <v>1589</v>
      </c>
      <c r="D410">
        <v>790.77499999999998</v>
      </c>
    </row>
    <row r="411" spans="1:4" x14ac:dyDescent="0.3">
      <c r="A411" t="s">
        <v>1040</v>
      </c>
      <c r="B411" t="s">
        <v>1041</v>
      </c>
      <c r="C411" t="s">
        <v>1042</v>
      </c>
      <c r="D411">
        <v>3.242</v>
      </c>
    </row>
    <row r="412" spans="1:4" x14ac:dyDescent="0.3">
      <c r="A412" t="s">
        <v>1043</v>
      </c>
      <c r="B412" t="s">
        <v>1044</v>
      </c>
      <c r="C412" t="s">
        <v>1045</v>
      </c>
      <c r="D412">
        <v>211.26300000000001</v>
      </c>
    </row>
    <row r="413" spans="1:4" x14ac:dyDescent="0.3">
      <c r="A413" t="s">
        <v>1627</v>
      </c>
      <c r="B413" t="s">
        <v>1628</v>
      </c>
      <c r="C413" t="s">
        <v>762</v>
      </c>
      <c r="D413">
        <v>29.984999999999999</v>
      </c>
    </row>
    <row r="414" spans="1:4" x14ac:dyDescent="0.3">
      <c r="A414" t="s">
        <v>1046</v>
      </c>
      <c r="B414" t="s">
        <v>1047</v>
      </c>
      <c r="C414" t="s">
        <v>199</v>
      </c>
      <c r="D414">
        <v>1.5880000000000001</v>
      </c>
    </row>
    <row r="415" spans="1:4" x14ac:dyDescent="0.3">
      <c r="A415" t="s">
        <v>1958</v>
      </c>
      <c r="B415" t="s">
        <v>1959</v>
      </c>
      <c r="C415" t="s">
        <v>452</v>
      </c>
      <c r="D415">
        <v>205.72200000000001</v>
      </c>
    </row>
    <row r="416" spans="1:4" x14ac:dyDescent="0.3">
      <c r="A416" t="s">
        <v>1986</v>
      </c>
      <c r="B416" t="s">
        <v>1987</v>
      </c>
      <c r="C416" t="s">
        <v>834</v>
      </c>
      <c r="D416">
        <v>10.56</v>
      </c>
    </row>
    <row r="417" spans="1:4" x14ac:dyDescent="0.3">
      <c r="A417" t="s">
        <v>1048</v>
      </c>
      <c r="B417" t="s">
        <v>1049</v>
      </c>
      <c r="C417" t="s">
        <v>209</v>
      </c>
      <c r="D417">
        <v>7.7069999999999999</v>
      </c>
    </row>
    <row r="418" spans="1:4" x14ac:dyDescent="0.3">
      <c r="A418" t="s">
        <v>1050</v>
      </c>
      <c r="B418" t="s">
        <v>1051</v>
      </c>
      <c r="C418" t="s">
        <v>257</v>
      </c>
      <c r="D418">
        <v>2.4260000000000002</v>
      </c>
    </row>
    <row r="419" spans="1:4" x14ac:dyDescent="0.3">
      <c r="A419" t="s">
        <v>1052</v>
      </c>
      <c r="B419" t="s">
        <v>1053</v>
      </c>
      <c r="C419" t="s">
        <v>458</v>
      </c>
      <c r="D419">
        <v>1.5089999999999999</v>
      </c>
    </row>
    <row r="420" spans="1:4" x14ac:dyDescent="0.3">
      <c r="A420" t="s">
        <v>1054</v>
      </c>
      <c r="B420" t="s">
        <v>1055</v>
      </c>
      <c r="C420" t="s">
        <v>295</v>
      </c>
      <c r="D420">
        <v>2355.3629999999998</v>
      </c>
    </row>
    <row r="421" spans="1:4" x14ac:dyDescent="0.3">
      <c r="A421" t="s">
        <v>1056</v>
      </c>
      <c r="B421" t="s">
        <v>1057</v>
      </c>
      <c r="C421" t="s">
        <v>198</v>
      </c>
      <c r="D421">
        <v>0.51900000000000002</v>
      </c>
    </row>
    <row r="422" spans="1:4" x14ac:dyDescent="0.3">
      <c r="A422" t="s">
        <v>1058</v>
      </c>
      <c r="B422" t="s">
        <v>1059</v>
      </c>
      <c r="C422" t="s">
        <v>273</v>
      </c>
      <c r="D422">
        <v>0.49399999999999999</v>
      </c>
    </row>
    <row r="423" spans="1:4" x14ac:dyDescent="0.3">
      <c r="A423" t="s">
        <v>1060</v>
      </c>
      <c r="B423" t="s">
        <v>1061</v>
      </c>
      <c r="C423" t="s">
        <v>513</v>
      </c>
      <c r="D423">
        <v>0.252</v>
      </c>
    </row>
    <row r="424" spans="1:4" x14ac:dyDescent="0.3">
      <c r="A424" t="s">
        <v>1062</v>
      </c>
      <c r="B424" t="s">
        <v>1063</v>
      </c>
      <c r="C424" t="s">
        <v>200</v>
      </c>
      <c r="D424">
        <v>0.251</v>
      </c>
    </row>
    <row r="425" spans="1:4" x14ac:dyDescent="0.3">
      <c r="A425" t="s">
        <v>1064</v>
      </c>
      <c r="B425" t="s">
        <v>1065</v>
      </c>
      <c r="C425" t="s">
        <v>553</v>
      </c>
      <c r="D425">
        <v>838.32799999999997</v>
      </c>
    </row>
    <row r="426" spans="1:4" x14ac:dyDescent="0.3">
      <c r="A426" t="s">
        <v>1066</v>
      </c>
      <c r="B426" t="s">
        <v>1067</v>
      </c>
      <c r="C426" t="s">
        <v>198</v>
      </c>
      <c r="D426">
        <v>1.6E-2</v>
      </c>
    </row>
    <row r="427" spans="1:4" x14ac:dyDescent="0.3">
      <c r="A427" t="s">
        <v>1068</v>
      </c>
      <c r="B427" t="s">
        <v>1069</v>
      </c>
      <c r="C427" t="s">
        <v>553</v>
      </c>
      <c r="D427">
        <v>0.86799999999999999</v>
      </c>
    </row>
    <row r="428" spans="1:4" x14ac:dyDescent="0.3">
      <c r="A428" t="s">
        <v>1070</v>
      </c>
      <c r="B428" t="s">
        <v>1071</v>
      </c>
      <c r="C428" t="s">
        <v>295</v>
      </c>
      <c r="D428">
        <v>62.228999999999999</v>
      </c>
    </row>
    <row r="429" spans="1:4" x14ac:dyDescent="0.3">
      <c r="A429" t="s">
        <v>1072</v>
      </c>
      <c r="B429" t="s">
        <v>1073</v>
      </c>
      <c r="C429" t="s">
        <v>295</v>
      </c>
      <c r="D429">
        <v>0.30099999999999999</v>
      </c>
    </row>
    <row r="430" spans="1:4" x14ac:dyDescent="0.3">
      <c r="A430" t="s">
        <v>1074</v>
      </c>
      <c r="B430" t="s">
        <v>1075</v>
      </c>
      <c r="C430" t="s">
        <v>1076</v>
      </c>
      <c r="D430">
        <v>1.6</v>
      </c>
    </row>
    <row r="431" spans="1:4" x14ac:dyDescent="0.3">
      <c r="A431" t="s">
        <v>1077</v>
      </c>
      <c r="B431" t="s">
        <v>1078</v>
      </c>
      <c r="C431" t="s">
        <v>198</v>
      </c>
      <c r="D431">
        <v>4.5010000000000003</v>
      </c>
    </row>
    <row r="432" spans="1:4" x14ac:dyDescent="0.3">
      <c r="A432" t="s">
        <v>1079</v>
      </c>
      <c r="B432" t="s">
        <v>1080</v>
      </c>
      <c r="C432" t="s">
        <v>200</v>
      </c>
      <c r="D432">
        <v>219.67</v>
      </c>
    </row>
    <row r="433" spans="1:4" x14ac:dyDescent="0.3">
      <c r="A433" t="s">
        <v>1081</v>
      </c>
      <c r="B433" t="s">
        <v>1082</v>
      </c>
      <c r="C433" t="s">
        <v>458</v>
      </c>
      <c r="D433">
        <v>5.6959999999999997</v>
      </c>
    </row>
    <row r="434" spans="1:4" x14ac:dyDescent="0.3">
      <c r="A434" t="s">
        <v>1083</v>
      </c>
      <c r="B434" t="s">
        <v>1084</v>
      </c>
      <c r="C434" t="s">
        <v>1085</v>
      </c>
      <c r="D434">
        <v>8.7569999999999997</v>
      </c>
    </row>
    <row r="435" spans="1:4" x14ac:dyDescent="0.3">
      <c r="A435" t="s">
        <v>1086</v>
      </c>
      <c r="B435" t="s">
        <v>1087</v>
      </c>
      <c r="C435" t="s">
        <v>239</v>
      </c>
      <c r="D435">
        <v>9.8759999999999994</v>
      </c>
    </row>
    <row r="436" spans="1:4" x14ac:dyDescent="0.3">
      <c r="A436" t="s">
        <v>1088</v>
      </c>
      <c r="B436" t="s">
        <v>1089</v>
      </c>
      <c r="C436" t="s">
        <v>405</v>
      </c>
      <c r="D436">
        <v>6.1120000000000001</v>
      </c>
    </row>
    <row r="437" spans="1:4" x14ac:dyDescent="0.3">
      <c r="A437" t="s">
        <v>1090</v>
      </c>
      <c r="B437" t="s">
        <v>1091</v>
      </c>
      <c r="C437" t="s">
        <v>198</v>
      </c>
      <c r="D437">
        <v>0.249</v>
      </c>
    </row>
    <row r="438" spans="1:4" x14ac:dyDescent="0.3">
      <c r="A438" t="s">
        <v>1092</v>
      </c>
      <c r="B438" t="s">
        <v>1093</v>
      </c>
      <c r="C438" t="s">
        <v>396</v>
      </c>
      <c r="D438">
        <v>0.28899999999999998</v>
      </c>
    </row>
    <row r="439" spans="1:4" x14ac:dyDescent="0.3">
      <c r="A439" t="s">
        <v>1094</v>
      </c>
      <c r="B439" t="s">
        <v>1095</v>
      </c>
      <c r="C439" t="s">
        <v>198</v>
      </c>
      <c r="D439">
        <v>4.5999999999999999E-2</v>
      </c>
    </row>
    <row r="440" spans="1:4" x14ac:dyDescent="0.3">
      <c r="A440" t="s">
        <v>1096</v>
      </c>
      <c r="B440" t="s">
        <v>1097</v>
      </c>
      <c r="C440" t="s">
        <v>396</v>
      </c>
      <c r="D440">
        <v>0.06</v>
      </c>
    </row>
    <row r="441" spans="1:4" x14ac:dyDescent="0.3">
      <c r="A441" t="s">
        <v>1098</v>
      </c>
      <c r="B441" t="s">
        <v>1099</v>
      </c>
      <c r="C441" t="s">
        <v>1100</v>
      </c>
      <c r="D441">
        <v>0.122</v>
      </c>
    </row>
    <row r="442" spans="1:4" x14ac:dyDescent="0.3">
      <c r="A442" t="s">
        <v>1101</v>
      </c>
      <c r="B442" t="s">
        <v>1102</v>
      </c>
      <c r="C442" t="s">
        <v>396</v>
      </c>
      <c r="D442">
        <v>1.101</v>
      </c>
    </row>
    <row r="443" spans="1:4" x14ac:dyDescent="0.3">
      <c r="A443" t="s">
        <v>1103</v>
      </c>
      <c r="B443" t="s">
        <v>1104</v>
      </c>
      <c r="C443" t="s">
        <v>199</v>
      </c>
      <c r="D443">
        <v>2.5009999999999999</v>
      </c>
    </row>
    <row r="444" spans="1:4" x14ac:dyDescent="0.3">
      <c r="A444" t="s">
        <v>1105</v>
      </c>
      <c r="B444" t="s">
        <v>1106</v>
      </c>
      <c r="C444" t="s">
        <v>198</v>
      </c>
      <c r="D444">
        <v>47.798999999999999</v>
      </c>
    </row>
    <row r="445" spans="1:4" x14ac:dyDescent="0.3">
      <c r="A445" t="s">
        <v>1107</v>
      </c>
      <c r="B445" t="s">
        <v>1108</v>
      </c>
      <c r="C445" t="s">
        <v>198</v>
      </c>
      <c r="D445">
        <v>0.20300000000000001</v>
      </c>
    </row>
    <row r="446" spans="1:4" x14ac:dyDescent="0.3">
      <c r="A446" t="s">
        <v>1109</v>
      </c>
      <c r="B446" t="s">
        <v>1110</v>
      </c>
      <c r="C446" t="s">
        <v>198</v>
      </c>
      <c r="D446">
        <v>0.81100000000000005</v>
      </c>
    </row>
    <row r="447" spans="1:4" x14ac:dyDescent="0.3">
      <c r="A447" t="s">
        <v>1629</v>
      </c>
      <c r="B447" t="s">
        <v>1630</v>
      </c>
      <c r="C447" t="s">
        <v>452</v>
      </c>
      <c r="D447">
        <v>0.191</v>
      </c>
    </row>
    <row r="448" spans="1:4" x14ac:dyDescent="0.3">
      <c r="A448" t="s">
        <v>1111</v>
      </c>
      <c r="B448" t="s">
        <v>1112</v>
      </c>
      <c r="C448" t="s">
        <v>683</v>
      </c>
      <c r="D448">
        <v>27.004999999999999</v>
      </c>
    </row>
    <row r="449" spans="1:4" x14ac:dyDescent="0.3">
      <c r="A449" t="s">
        <v>1113</v>
      </c>
      <c r="B449" t="s">
        <v>1114</v>
      </c>
      <c r="C449" t="s">
        <v>1115</v>
      </c>
      <c r="D449">
        <v>671.07500000000005</v>
      </c>
    </row>
    <row r="450" spans="1:4" x14ac:dyDescent="0.3">
      <c r="A450" t="s">
        <v>1116</v>
      </c>
      <c r="B450" t="s">
        <v>1117</v>
      </c>
      <c r="C450" t="s">
        <v>200</v>
      </c>
      <c r="D450">
        <v>4.1909999999999998</v>
      </c>
    </row>
    <row r="451" spans="1:4" x14ac:dyDescent="0.3">
      <c r="A451" t="s">
        <v>1120</v>
      </c>
      <c r="B451" t="s">
        <v>1121</v>
      </c>
      <c r="C451" t="s">
        <v>445</v>
      </c>
      <c r="D451">
        <v>0.374</v>
      </c>
    </row>
    <row r="452" spans="1:4" x14ac:dyDescent="0.3">
      <c r="A452" t="s">
        <v>1122</v>
      </c>
      <c r="B452" t="s">
        <v>1123</v>
      </c>
      <c r="C452" t="s">
        <v>284</v>
      </c>
      <c r="D452">
        <v>0.84299999999999997</v>
      </c>
    </row>
    <row r="453" spans="1:4" x14ac:dyDescent="0.3">
      <c r="A453" t="s">
        <v>1124</v>
      </c>
      <c r="B453" t="s">
        <v>1125</v>
      </c>
      <c r="C453" t="s">
        <v>553</v>
      </c>
      <c r="D453">
        <v>0.88400000000000001</v>
      </c>
    </row>
    <row r="454" spans="1:4" x14ac:dyDescent="0.3">
      <c r="A454" t="s">
        <v>1126</v>
      </c>
      <c r="B454" t="s">
        <v>1127</v>
      </c>
      <c r="C454" t="s">
        <v>458</v>
      </c>
      <c r="D454">
        <v>9.4E-2</v>
      </c>
    </row>
    <row r="455" spans="1:4" x14ac:dyDescent="0.3">
      <c r="A455" t="s">
        <v>1128</v>
      </c>
      <c r="B455" t="s">
        <v>1129</v>
      </c>
      <c r="C455" t="s">
        <v>209</v>
      </c>
      <c r="D455">
        <v>75.507000000000005</v>
      </c>
    </row>
    <row r="456" spans="1:4" x14ac:dyDescent="0.3">
      <c r="A456" t="s">
        <v>1132</v>
      </c>
      <c r="B456" t="s">
        <v>1133</v>
      </c>
      <c r="C456" t="s">
        <v>1134</v>
      </c>
      <c r="D456">
        <v>0.19600000000000001</v>
      </c>
    </row>
    <row r="457" spans="1:4" x14ac:dyDescent="0.3">
      <c r="A457" t="s">
        <v>1135</v>
      </c>
      <c r="B457" t="s">
        <v>1136</v>
      </c>
      <c r="C457" t="s">
        <v>396</v>
      </c>
      <c r="D457">
        <v>322.714</v>
      </c>
    </row>
    <row r="458" spans="1:4" x14ac:dyDescent="0.3">
      <c r="A458" t="s">
        <v>1137</v>
      </c>
      <c r="B458" t="s">
        <v>1138</v>
      </c>
      <c r="C458" t="s">
        <v>198</v>
      </c>
      <c r="D458">
        <v>1.766</v>
      </c>
    </row>
    <row r="459" spans="1:4" x14ac:dyDescent="0.3">
      <c r="A459" t="s">
        <v>1139</v>
      </c>
      <c r="B459" t="s">
        <v>1140</v>
      </c>
      <c r="C459" t="s">
        <v>200</v>
      </c>
      <c r="D459">
        <v>0.35299999999999998</v>
      </c>
    </row>
    <row r="460" spans="1:4" x14ac:dyDescent="0.3">
      <c r="A460" t="s">
        <v>1141</v>
      </c>
      <c r="B460" t="s">
        <v>1142</v>
      </c>
      <c r="C460" t="s">
        <v>1143</v>
      </c>
      <c r="D460">
        <v>104.256</v>
      </c>
    </row>
    <row r="461" spans="1:4" x14ac:dyDescent="0.3">
      <c r="A461" t="s">
        <v>1144</v>
      </c>
      <c r="B461" t="s">
        <v>1145</v>
      </c>
      <c r="C461" t="s">
        <v>199</v>
      </c>
      <c r="D461">
        <v>3.484</v>
      </c>
    </row>
    <row r="462" spans="1:4" x14ac:dyDescent="0.3">
      <c r="A462" t="s">
        <v>1146</v>
      </c>
      <c r="B462" t="s">
        <v>1147</v>
      </c>
      <c r="C462" t="s">
        <v>198</v>
      </c>
      <c r="D462">
        <v>12.811</v>
      </c>
    </row>
    <row r="463" spans="1:4" x14ac:dyDescent="0.3">
      <c r="A463" t="s">
        <v>1148</v>
      </c>
      <c r="B463" t="s">
        <v>1149</v>
      </c>
      <c r="C463" t="s">
        <v>1150</v>
      </c>
      <c r="D463">
        <v>427.26900000000001</v>
      </c>
    </row>
    <row r="464" spans="1:4" x14ac:dyDescent="0.3">
      <c r="A464" t="s">
        <v>1151</v>
      </c>
      <c r="B464" t="s">
        <v>1152</v>
      </c>
      <c r="C464" t="s">
        <v>199</v>
      </c>
      <c r="D464">
        <v>79.575999999999993</v>
      </c>
    </row>
    <row r="465" spans="1:4" x14ac:dyDescent="0.3">
      <c r="A465" t="s">
        <v>1153</v>
      </c>
      <c r="B465" t="s">
        <v>1154</v>
      </c>
      <c r="C465" t="s">
        <v>199</v>
      </c>
      <c r="D465">
        <v>87.608000000000004</v>
      </c>
    </row>
    <row r="466" spans="1:4" x14ac:dyDescent="0.3">
      <c r="A466" t="s">
        <v>1155</v>
      </c>
      <c r="B466" t="s">
        <v>1156</v>
      </c>
      <c r="C466" t="s">
        <v>198</v>
      </c>
      <c r="D466">
        <v>0.89300000000000002</v>
      </c>
    </row>
    <row r="467" spans="1:4" x14ac:dyDescent="0.3">
      <c r="A467" t="s">
        <v>1157</v>
      </c>
      <c r="B467" t="s">
        <v>1158</v>
      </c>
      <c r="C467" t="s">
        <v>198</v>
      </c>
      <c r="D467">
        <v>61.654000000000003</v>
      </c>
    </row>
    <row r="468" spans="1:4" x14ac:dyDescent="0.3">
      <c r="A468" t="s">
        <v>1159</v>
      </c>
      <c r="B468" t="s">
        <v>1160</v>
      </c>
      <c r="C468" t="s">
        <v>198</v>
      </c>
      <c r="D468">
        <v>2.83</v>
      </c>
    </row>
    <row r="469" spans="1:4" x14ac:dyDescent="0.3">
      <c r="A469" t="s">
        <v>1161</v>
      </c>
      <c r="B469" t="s">
        <v>1162</v>
      </c>
      <c r="C469" t="s">
        <v>199</v>
      </c>
      <c r="D469">
        <v>43.417000000000002</v>
      </c>
    </row>
    <row r="470" spans="1:4" x14ac:dyDescent="0.3">
      <c r="A470" t="s">
        <v>1163</v>
      </c>
      <c r="B470" t="s">
        <v>1164</v>
      </c>
      <c r="C470" t="s">
        <v>198</v>
      </c>
      <c r="D470">
        <v>20.689</v>
      </c>
    </row>
    <row r="471" spans="1:4" x14ac:dyDescent="0.3">
      <c r="A471" t="s">
        <v>1165</v>
      </c>
      <c r="B471" t="s">
        <v>1166</v>
      </c>
      <c r="C471" t="s">
        <v>198</v>
      </c>
      <c r="D471">
        <v>19.076000000000001</v>
      </c>
    </row>
    <row r="472" spans="1:4" x14ac:dyDescent="0.3">
      <c r="A472" t="s">
        <v>1167</v>
      </c>
      <c r="B472" t="s">
        <v>1168</v>
      </c>
      <c r="C472" t="s">
        <v>199</v>
      </c>
      <c r="D472">
        <v>67.861000000000004</v>
      </c>
    </row>
    <row r="473" spans="1:4" x14ac:dyDescent="0.3">
      <c r="A473" t="s">
        <v>1169</v>
      </c>
      <c r="B473" t="s">
        <v>1170</v>
      </c>
      <c r="C473" t="s">
        <v>198</v>
      </c>
      <c r="D473">
        <v>22.878</v>
      </c>
    </row>
    <row r="474" spans="1:4" x14ac:dyDescent="0.3">
      <c r="A474" t="s">
        <v>1988</v>
      </c>
      <c r="B474" t="s">
        <v>2024</v>
      </c>
      <c r="C474" t="s">
        <v>396</v>
      </c>
      <c r="D474">
        <v>43.287999999999997</v>
      </c>
    </row>
    <row r="475" spans="1:4" x14ac:dyDescent="0.3">
      <c r="A475" t="s">
        <v>1171</v>
      </c>
      <c r="B475" t="s">
        <v>1172</v>
      </c>
      <c r="C475" t="s">
        <v>452</v>
      </c>
      <c r="D475">
        <v>124.113</v>
      </c>
    </row>
    <row r="476" spans="1:4" x14ac:dyDescent="0.3">
      <c r="A476" t="s">
        <v>1173</v>
      </c>
      <c r="B476" t="s">
        <v>1174</v>
      </c>
      <c r="C476" t="s">
        <v>1175</v>
      </c>
      <c r="D476">
        <v>26.8</v>
      </c>
    </row>
    <row r="477" spans="1:4" x14ac:dyDescent="0.3">
      <c r="A477" t="s">
        <v>1176</v>
      </c>
      <c r="B477" t="s">
        <v>1177</v>
      </c>
      <c r="C477" t="s">
        <v>273</v>
      </c>
      <c r="D477">
        <v>44.793999999999997</v>
      </c>
    </row>
    <row r="478" spans="1:4" x14ac:dyDescent="0.3">
      <c r="A478" t="s">
        <v>1178</v>
      </c>
      <c r="B478" t="s">
        <v>1179</v>
      </c>
      <c r="C478" t="s">
        <v>198</v>
      </c>
      <c r="D478">
        <v>196.547</v>
      </c>
    </row>
    <row r="479" spans="1:4" x14ac:dyDescent="0.3">
      <c r="A479" t="s">
        <v>1180</v>
      </c>
      <c r="B479" t="s">
        <v>1181</v>
      </c>
      <c r="C479" t="s">
        <v>198</v>
      </c>
      <c r="D479">
        <v>191.31100000000001</v>
      </c>
    </row>
    <row r="480" spans="1:4" x14ac:dyDescent="0.3">
      <c r="A480" t="s">
        <v>1182</v>
      </c>
      <c r="B480" t="s">
        <v>1183</v>
      </c>
      <c r="C480" t="s">
        <v>273</v>
      </c>
      <c r="D480">
        <v>16.771000000000001</v>
      </c>
    </row>
    <row r="481" spans="1:4" x14ac:dyDescent="0.3">
      <c r="A481" t="s">
        <v>1184</v>
      </c>
      <c r="B481" t="s">
        <v>1185</v>
      </c>
      <c r="C481" t="s">
        <v>209</v>
      </c>
      <c r="D481">
        <v>2.6080000000000001</v>
      </c>
    </row>
    <row r="482" spans="1:4" x14ac:dyDescent="0.3">
      <c r="A482" t="s">
        <v>1186</v>
      </c>
      <c r="B482" t="s">
        <v>1187</v>
      </c>
      <c r="C482" t="s">
        <v>198</v>
      </c>
      <c r="D482">
        <v>41.110999999999997</v>
      </c>
    </row>
    <row r="483" spans="1:4" x14ac:dyDescent="0.3">
      <c r="A483" t="s">
        <v>1188</v>
      </c>
      <c r="B483" t="s">
        <v>1189</v>
      </c>
      <c r="C483" t="s">
        <v>257</v>
      </c>
      <c r="D483">
        <v>1099.8219999999999</v>
      </c>
    </row>
    <row r="484" spans="1:4" x14ac:dyDescent="0.3">
      <c r="A484" t="s">
        <v>1190</v>
      </c>
      <c r="B484" t="s">
        <v>1191</v>
      </c>
      <c r="C484" t="s">
        <v>199</v>
      </c>
      <c r="D484">
        <v>67.617999999999995</v>
      </c>
    </row>
    <row r="485" spans="1:4" x14ac:dyDescent="0.3">
      <c r="A485" t="s">
        <v>1192</v>
      </c>
      <c r="B485" t="s">
        <v>1193</v>
      </c>
      <c r="C485" t="s">
        <v>199</v>
      </c>
      <c r="D485">
        <v>1.8640000000000001</v>
      </c>
    </row>
    <row r="486" spans="1:4" x14ac:dyDescent="0.3">
      <c r="A486" t="s">
        <v>2025</v>
      </c>
      <c r="B486" t="s">
        <v>2026</v>
      </c>
      <c r="C486" t="s">
        <v>688</v>
      </c>
      <c r="D486">
        <v>17.905000000000001</v>
      </c>
    </row>
    <row r="487" spans="1:4" x14ac:dyDescent="0.3">
      <c r="A487" t="s">
        <v>1194</v>
      </c>
      <c r="B487" t="s">
        <v>1195</v>
      </c>
      <c r="C487" t="s">
        <v>198</v>
      </c>
      <c r="D487">
        <v>15.084</v>
      </c>
    </row>
    <row r="488" spans="1:4" x14ac:dyDescent="0.3">
      <c r="A488" t="s">
        <v>1196</v>
      </c>
      <c r="B488" t="s">
        <v>1197</v>
      </c>
      <c r="C488" t="s">
        <v>257</v>
      </c>
      <c r="D488">
        <v>27.472999999999999</v>
      </c>
    </row>
    <row r="489" spans="1:4" x14ac:dyDescent="0.3">
      <c r="A489" t="s">
        <v>1198</v>
      </c>
      <c r="B489" t="s">
        <v>1199</v>
      </c>
      <c r="C489" t="s">
        <v>257</v>
      </c>
      <c r="D489">
        <v>0.88100000000000001</v>
      </c>
    </row>
    <row r="490" spans="1:4" x14ac:dyDescent="0.3">
      <c r="A490" t="s">
        <v>1592</v>
      </c>
      <c r="B490" t="s">
        <v>1593</v>
      </c>
      <c r="C490" t="s">
        <v>198</v>
      </c>
      <c r="D490">
        <v>27.673999999999999</v>
      </c>
    </row>
    <row r="491" spans="1:4" x14ac:dyDescent="0.3">
      <c r="A491" t="s">
        <v>1200</v>
      </c>
      <c r="B491" t="s">
        <v>1201</v>
      </c>
      <c r="C491" t="s">
        <v>396</v>
      </c>
      <c r="D491">
        <v>838.87900000000002</v>
      </c>
    </row>
    <row r="492" spans="1:4" x14ac:dyDescent="0.3">
      <c r="A492" t="s">
        <v>1202</v>
      </c>
      <c r="B492" t="s">
        <v>1203</v>
      </c>
      <c r="C492" t="s">
        <v>257</v>
      </c>
      <c r="D492">
        <v>3.6160000000000001</v>
      </c>
    </row>
    <row r="493" spans="1:4" x14ac:dyDescent="0.3">
      <c r="A493" t="s">
        <v>1960</v>
      </c>
      <c r="B493" t="s">
        <v>1961</v>
      </c>
      <c r="C493" t="s">
        <v>199</v>
      </c>
      <c r="D493">
        <v>45.033999999999999</v>
      </c>
    </row>
    <row r="494" spans="1:4" x14ac:dyDescent="0.3">
      <c r="A494" t="s">
        <v>1204</v>
      </c>
      <c r="B494" t="s">
        <v>1205</v>
      </c>
      <c r="C494" t="s">
        <v>199</v>
      </c>
      <c r="D494">
        <v>57.222000000000001</v>
      </c>
    </row>
    <row r="495" spans="1:4" x14ac:dyDescent="0.3">
      <c r="A495" t="s">
        <v>1206</v>
      </c>
      <c r="B495" t="s">
        <v>1207</v>
      </c>
      <c r="C495" t="s">
        <v>199</v>
      </c>
      <c r="D495">
        <v>41.235999999999997</v>
      </c>
    </row>
    <row r="496" spans="1:4" x14ac:dyDescent="0.3">
      <c r="A496" t="s">
        <v>1208</v>
      </c>
      <c r="B496" t="s">
        <v>1209</v>
      </c>
      <c r="C496" t="s">
        <v>1210</v>
      </c>
      <c r="D496">
        <v>207.631</v>
      </c>
    </row>
    <row r="497" spans="1:4" x14ac:dyDescent="0.3">
      <c r="A497" t="s">
        <v>1211</v>
      </c>
      <c r="B497" t="s">
        <v>1212</v>
      </c>
      <c r="C497" t="s">
        <v>198</v>
      </c>
      <c r="D497">
        <v>4.0609999999999999</v>
      </c>
    </row>
    <row r="498" spans="1:4" x14ac:dyDescent="0.3">
      <c r="A498" t="s">
        <v>192</v>
      </c>
      <c r="B498" t="s">
        <v>1213</v>
      </c>
      <c r="C498" t="s">
        <v>198</v>
      </c>
      <c r="D498">
        <v>0.45900000000000002</v>
      </c>
    </row>
    <row r="499" spans="1:4" x14ac:dyDescent="0.3">
      <c r="A499" t="s">
        <v>1214</v>
      </c>
      <c r="B499" t="s">
        <v>1215</v>
      </c>
      <c r="C499" t="s">
        <v>199</v>
      </c>
      <c r="D499">
        <v>76.858999999999995</v>
      </c>
    </row>
    <row r="500" spans="1:4" x14ac:dyDescent="0.3">
      <c r="A500" t="s">
        <v>1216</v>
      </c>
      <c r="B500" t="s">
        <v>1217</v>
      </c>
      <c r="C500" t="s">
        <v>198</v>
      </c>
      <c r="D500">
        <v>6.86</v>
      </c>
    </row>
    <row r="501" spans="1:4" x14ac:dyDescent="0.3">
      <c r="A501" t="s">
        <v>1631</v>
      </c>
      <c r="B501" t="s">
        <v>1632</v>
      </c>
      <c r="C501" t="s">
        <v>458</v>
      </c>
      <c r="D501">
        <v>30.186</v>
      </c>
    </row>
    <row r="502" spans="1:4" x14ac:dyDescent="0.3">
      <c r="A502" t="s">
        <v>195</v>
      </c>
      <c r="B502" t="s">
        <v>1218</v>
      </c>
      <c r="C502" t="s">
        <v>688</v>
      </c>
      <c r="D502">
        <v>1.4550000000000001</v>
      </c>
    </row>
    <row r="503" spans="1:4" x14ac:dyDescent="0.3">
      <c r="A503" t="s">
        <v>1219</v>
      </c>
      <c r="B503" t="s">
        <v>1220</v>
      </c>
      <c r="C503" t="s">
        <v>273</v>
      </c>
      <c r="D503">
        <v>127.43600000000001</v>
      </c>
    </row>
    <row r="504" spans="1:4" x14ac:dyDescent="0.3">
      <c r="A504" t="s">
        <v>1221</v>
      </c>
      <c r="B504" t="s">
        <v>1222</v>
      </c>
      <c r="C504" t="s">
        <v>199</v>
      </c>
      <c r="D504">
        <v>0.75800000000000001</v>
      </c>
    </row>
    <row r="505" spans="1:4" x14ac:dyDescent="0.3">
      <c r="A505" t="s">
        <v>1223</v>
      </c>
      <c r="B505" t="s">
        <v>1224</v>
      </c>
      <c r="C505" t="s">
        <v>209</v>
      </c>
      <c r="D505">
        <v>57.02</v>
      </c>
    </row>
    <row r="506" spans="1:4" x14ac:dyDescent="0.3">
      <c r="A506" t="s">
        <v>1225</v>
      </c>
      <c r="B506" t="s">
        <v>1226</v>
      </c>
      <c r="C506" t="s">
        <v>284</v>
      </c>
      <c r="D506">
        <v>2.129</v>
      </c>
    </row>
    <row r="507" spans="1:4" x14ac:dyDescent="0.3">
      <c r="A507" t="s">
        <v>1990</v>
      </c>
      <c r="B507" t="s">
        <v>1991</v>
      </c>
      <c r="C507" t="s">
        <v>257</v>
      </c>
      <c r="D507">
        <v>25.079000000000001</v>
      </c>
    </row>
    <row r="508" spans="1:4" x14ac:dyDescent="0.3">
      <c r="A508" t="s">
        <v>1227</v>
      </c>
      <c r="B508" t="s">
        <v>1228</v>
      </c>
      <c r="C508" t="s">
        <v>284</v>
      </c>
      <c r="D508">
        <v>69.89</v>
      </c>
    </row>
    <row r="509" spans="1:4" x14ac:dyDescent="0.3">
      <c r="A509" t="s">
        <v>1229</v>
      </c>
      <c r="B509" t="s">
        <v>1594</v>
      </c>
      <c r="C509" t="s">
        <v>442</v>
      </c>
      <c r="D509">
        <v>3.847</v>
      </c>
    </row>
    <row r="510" spans="1:4" x14ac:dyDescent="0.3">
      <c r="A510" t="s">
        <v>1231</v>
      </c>
      <c r="B510" t="s">
        <v>1232</v>
      </c>
      <c r="C510" t="s">
        <v>1233</v>
      </c>
      <c r="D510">
        <v>543.15800000000002</v>
      </c>
    </row>
    <row r="511" spans="1:4" x14ac:dyDescent="0.3">
      <c r="A511" t="s">
        <v>1529</v>
      </c>
      <c r="B511" t="s">
        <v>1595</v>
      </c>
      <c r="C511" t="s">
        <v>273</v>
      </c>
      <c r="D511">
        <v>211.11199999999999</v>
      </c>
    </row>
    <row r="512" spans="1:4" x14ac:dyDescent="0.3">
      <c r="A512" t="s">
        <v>1596</v>
      </c>
      <c r="B512" t="s">
        <v>1597</v>
      </c>
      <c r="C512" t="s">
        <v>198</v>
      </c>
      <c r="D512">
        <v>212.63499999999999</v>
      </c>
    </row>
    <row r="513" spans="1:4" x14ac:dyDescent="0.3">
      <c r="A513" t="s">
        <v>1234</v>
      </c>
      <c r="B513" t="s">
        <v>1235</v>
      </c>
      <c r="C513" t="s">
        <v>198</v>
      </c>
      <c r="D513">
        <v>57.371000000000002</v>
      </c>
    </row>
    <row r="514" spans="1:4" x14ac:dyDescent="0.3">
      <c r="A514" t="s">
        <v>1236</v>
      </c>
      <c r="B514" t="s">
        <v>1237</v>
      </c>
      <c r="C514" t="s">
        <v>311</v>
      </c>
      <c r="D514">
        <v>2.4489999999999998</v>
      </c>
    </row>
    <row r="515" spans="1:4" x14ac:dyDescent="0.3">
      <c r="A515" t="s">
        <v>1238</v>
      </c>
      <c r="B515" t="s">
        <v>1239</v>
      </c>
      <c r="C515" t="s">
        <v>198</v>
      </c>
      <c r="D515">
        <v>114.18600000000001</v>
      </c>
    </row>
    <row r="516" spans="1:4" x14ac:dyDescent="0.3">
      <c r="A516" t="s">
        <v>1240</v>
      </c>
      <c r="B516" t="s">
        <v>1241</v>
      </c>
      <c r="C516" t="s">
        <v>405</v>
      </c>
      <c r="D516">
        <v>26.489000000000001</v>
      </c>
    </row>
    <row r="517" spans="1:4" x14ac:dyDescent="0.3">
      <c r="A517" t="s">
        <v>1242</v>
      </c>
      <c r="B517" t="s">
        <v>1243</v>
      </c>
      <c r="C517" t="s">
        <v>442</v>
      </c>
      <c r="D517">
        <v>1.728</v>
      </c>
    </row>
    <row r="518" spans="1:4" x14ac:dyDescent="0.3">
      <c r="A518" t="s">
        <v>1962</v>
      </c>
      <c r="B518" t="s">
        <v>1963</v>
      </c>
      <c r="C518" t="s">
        <v>198</v>
      </c>
      <c r="D518">
        <v>362.31299999999999</v>
      </c>
    </row>
    <row r="519" spans="1:4" x14ac:dyDescent="0.3">
      <c r="A519" t="s">
        <v>1244</v>
      </c>
      <c r="B519" t="s">
        <v>1245</v>
      </c>
      <c r="C519" t="s">
        <v>200</v>
      </c>
      <c r="D519">
        <v>37.35</v>
      </c>
    </row>
    <row r="520" spans="1:4" x14ac:dyDescent="0.3">
      <c r="A520" t="s">
        <v>1246</v>
      </c>
      <c r="B520" t="s">
        <v>1247</v>
      </c>
      <c r="C520" t="s">
        <v>1248</v>
      </c>
      <c r="D520">
        <v>32.737000000000002</v>
      </c>
    </row>
    <row r="521" spans="1:4" x14ac:dyDescent="0.3">
      <c r="A521" t="s">
        <v>1249</v>
      </c>
      <c r="B521" t="s">
        <v>1250</v>
      </c>
      <c r="C521" t="s">
        <v>1251</v>
      </c>
      <c r="D521">
        <v>200.733</v>
      </c>
    </row>
    <row r="522" spans="1:4" x14ac:dyDescent="0.3">
      <c r="A522" t="s">
        <v>1252</v>
      </c>
      <c r="B522" t="s">
        <v>1253</v>
      </c>
      <c r="C522" t="s">
        <v>198</v>
      </c>
      <c r="D522">
        <v>15</v>
      </c>
    </row>
    <row r="523" spans="1:4" x14ac:dyDescent="0.3">
      <c r="A523" t="s">
        <v>1992</v>
      </c>
      <c r="B523" t="s">
        <v>1993</v>
      </c>
      <c r="C523" t="s">
        <v>273</v>
      </c>
      <c r="D523">
        <v>180.232</v>
      </c>
    </row>
    <row r="524" spans="1:4" x14ac:dyDescent="0.3">
      <c r="A524" t="s">
        <v>1254</v>
      </c>
      <c r="B524" t="s">
        <v>1255</v>
      </c>
      <c r="C524" t="s">
        <v>209</v>
      </c>
      <c r="D524">
        <v>5166.2920000000004</v>
      </c>
    </row>
    <row r="525" spans="1:4" x14ac:dyDescent="0.3">
      <c r="A525" t="s">
        <v>1256</v>
      </c>
      <c r="B525" t="s">
        <v>1257</v>
      </c>
      <c r="C525" t="s">
        <v>209</v>
      </c>
      <c r="D525">
        <v>43442.326000000001</v>
      </c>
    </row>
    <row r="526" spans="1:4" x14ac:dyDescent="0.3">
      <c r="A526" t="s">
        <v>1964</v>
      </c>
      <c r="B526" t="s">
        <v>1965</v>
      </c>
      <c r="C526" t="s">
        <v>199</v>
      </c>
      <c r="D526">
        <v>69.024000000000001</v>
      </c>
    </row>
    <row r="527" spans="1:4" x14ac:dyDescent="0.3">
      <c r="A527" t="s">
        <v>1258</v>
      </c>
      <c r="B527" t="s">
        <v>1259</v>
      </c>
      <c r="C527" t="s">
        <v>198</v>
      </c>
      <c r="D527">
        <v>160.703</v>
      </c>
    </row>
    <row r="528" spans="1:4" x14ac:dyDescent="0.3">
      <c r="A528" t="s">
        <v>1598</v>
      </c>
      <c r="B528" t="s">
        <v>1599</v>
      </c>
      <c r="C528" t="s">
        <v>273</v>
      </c>
      <c r="D528">
        <v>2407.1959999999999</v>
      </c>
    </row>
    <row r="529" spans="1:4" x14ac:dyDescent="0.3">
      <c r="A529" t="s">
        <v>1260</v>
      </c>
      <c r="B529" t="s">
        <v>1966</v>
      </c>
      <c r="C529" t="s">
        <v>209</v>
      </c>
      <c r="D529">
        <v>197.458</v>
      </c>
    </row>
    <row r="530" spans="1:4" x14ac:dyDescent="0.3">
      <c r="A530" t="s">
        <v>2027</v>
      </c>
      <c r="B530" t="s">
        <v>2028</v>
      </c>
      <c r="C530" t="s">
        <v>198</v>
      </c>
      <c r="D530">
        <v>497.435</v>
      </c>
    </row>
    <row r="531" spans="1:4" x14ac:dyDescent="0.3">
      <c r="A531" t="s">
        <v>193</v>
      </c>
      <c r="B531" t="s">
        <v>1262</v>
      </c>
      <c r="C531" t="s">
        <v>200</v>
      </c>
      <c r="D531">
        <v>0.20699999999999999</v>
      </c>
    </row>
    <row r="532" spans="1:4" x14ac:dyDescent="0.3">
      <c r="A532" t="s">
        <v>1263</v>
      </c>
      <c r="B532" t="s">
        <v>1262</v>
      </c>
      <c r="C532" t="s">
        <v>209</v>
      </c>
      <c r="D532">
        <v>2.0710000000000002</v>
      </c>
    </row>
    <row r="533" spans="1:4" x14ac:dyDescent="0.3">
      <c r="A533" t="s">
        <v>1264</v>
      </c>
      <c r="B533" t="s">
        <v>1265</v>
      </c>
      <c r="C533" t="s">
        <v>209</v>
      </c>
      <c r="D533">
        <v>155.89699999999999</v>
      </c>
    </row>
    <row r="534" spans="1:4" x14ac:dyDescent="0.3">
      <c r="A534" t="s">
        <v>1266</v>
      </c>
      <c r="B534" t="s">
        <v>1267</v>
      </c>
      <c r="C534" t="s">
        <v>318</v>
      </c>
      <c r="D534">
        <v>3.3</v>
      </c>
    </row>
    <row r="535" spans="1:4" x14ac:dyDescent="0.3">
      <c r="A535" t="s">
        <v>1268</v>
      </c>
      <c r="B535" t="s">
        <v>1269</v>
      </c>
      <c r="C535" t="s">
        <v>396</v>
      </c>
      <c r="D535">
        <v>7.3999999999999996E-2</v>
      </c>
    </row>
    <row r="536" spans="1:4" x14ac:dyDescent="0.3">
      <c r="A536" t="s">
        <v>1270</v>
      </c>
      <c r="B536" t="s">
        <v>1271</v>
      </c>
      <c r="C536" t="s">
        <v>198</v>
      </c>
      <c r="D536">
        <v>14.044</v>
      </c>
    </row>
    <row r="537" spans="1:4" x14ac:dyDescent="0.3">
      <c r="A537" t="s">
        <v>1272</v>
      </c>
      <c r="B537" t="s">
        <v>1273</v>
      </c>
      <c r="C537" t="s">
        <v>1274</v>
      </c>
      <c r="D537">
        <v>21561.046999999999</v>
      </c>
    </row>
    <row r="538" spans="1:4" x14ac:dyDescent="0.3">
      <c r="A538" t="s">
        <v>1275</v>
      </c>
      <c r="B538" t="s">
        <v>1276</v>
      </c>
      <c r="C538" t="s">
        <v>198</v>
      </c>
      <c r="D538">
        <v>0.124</v>
      </c>
    </row>
    <row r="539" spans="1:4" x14ac:dyDescent="0.3">
      <c r="A539" t="s">
        <v>1277</v>
      </c>
      <c r="B539" t="s">
        <v>1278</v>
      </c>
      <c r="C539" t="s">
        <v>199</v>
      </c>
      <c r="D539">
        <v>1934.454</v>
      </c>
    </row>
    <row r="540" spans="1:4" x14ac:dyDescent="0.3">
      <c r="A540" t="s">
        <v>1967</v>
      </c>
      <c r="B540" t="s">
        <v>1968</v>
      </c>
      <c r="C540" t="s">
        <v>834</v>
      </c>
      <c r="D540">
        <v>296.34100000000001</v>
      </c>
    </row>
    <row r="541" spans="1:4" x14ac:dyDescent="0.3">
      <c r="A541" t="s">
        <v>1279</v>
      </c>
      <c r="B541" t="s">
        <v>1280</v>
      </c>
      <c r="C541" t="s">
        <v>198</v>
      </c>
      <c r="D541">
        <v>52.3</v>
      </c>
    </row>
    <row r="542" spans="1:4" x14ac:dyDescent="0.3">
      <c r="A542" t="s">
        <v>2029</v>
      </c>
      <c r="B542" t="s">
        <v>2030</v>
      </c>
      <c r="C542" t="s">
        <v>199</v>
      </c>
      <c r="D542">
        <v>215.11600000000001</v>
      </c>
    </row>
    <row r="543" spans="1:4" x14ac:dyDescent="0.3">
      <c r="A543" t="s">
        <v>1281</v>
      </c>
      <c r="B543" t="s">
        <v>1282</v>
      </c>
      <c r="C543" t="s">
        <v>200</v>
      </c>
      <c r="D543">
        <v>50.662999999999997</v>
      </c>
    </row>
    <row r="544" spans="1:4" x14ac:dyDescent="0.3">
      <c r="A544" t="s">
        <v>1969</v>
      </c>
      <c r="B544" t="s">
        <v>1970</v>
      </c>
      <c r="C544" t="s">
        <v>198</v>
      </c>
      <c r="D544">
        <v>281.79000000000002</v>
      </c>
    </row>
    <row r="545" spans="1:4" x14ac:dyDescent="0.3">
      <c r="A545" t="s">
        <v>1285</v>
      </c>
      <c r="B545" t="s">
        <v>1286</v>
      </c>
      <c r="C545" t="s">
        <v>200</v>
      </c>
      <c r="D545">
        <v>29.402000000000001</v>
      </c>
    </row>
    <row r="546" spans="1:4" x14ac:dyDescent="0.3">
      <c r="A546" t="s">
        <v>1287</v>
      </c>
      <c r="B546" t="s">
        <v>1288</v>
      </c>
      <c r="C546" t="s">
        <v>198</v>
      </c>
      <c r="D546">
        <v>5.7370000000000001</v>
      </c>
    </row>
    <row r="547" spans="1:4" x14ac:dyDescent="0.3">
      <c r="A547" t="s">
        <v>1289</v>
      </c>
      <c r="B547" t="s">
        <v>1290</v>
      </c>
      <c r="C547" t="s">
        <v>198</v>
      </c>
      <c r="D547">
        <v>29.245000000000001</v>
      </c>
    </row>
    <row r="548" spans="1:4" x14ac:dyDescent="0.3">
      <c r="A548" t="s">
        <v>1291</v>
      </c>
      <c r="B548" t="s">
        <v>1292</v>
      </c>
      <c r="C548" t="s">
        <v>199</v>
      </c>
      <c r="D548">
        <v>64.108000000000004</v>
      </c>
    </row>
    <row r="549" spans="1:4" x14ac:dyDescent="0.3">
      <c r="A549" t="s">
        <v>1293</v>
      </c>
      <c r="B549" t="s">
        <v>1294</v>
      </c>
      <c r="C549" t="s">
        <v>199</v>
      </c>
      <c r="D549">
        <v>63.957000000000001</v>
      </c>
    </row>
    <row r="550" spans="1:4" x14ac:dyDescent="0.3">
      <c r="A550" t="s">
        <v>1295</v>
      </c>
      <c r="B550" t="s">
        <v>1296</v>
      </c>
      <c r="C550" t="s">
        <v>199</v>
      </c>
      <c r="D550">
        <v>130.40700000000001</v>
      </c>
    </row>
    <row r="551" spans="1:4" x14ac:dyDescent="0.3">
      <c r="A551" t="s">
        <v>1297</v>
      </c>
      <c r="B551" t="s">
        <v>1971</v>
      </c>
      <c r="C551" t="s">
        <v>199</v>
      </c>
      <c r="D551">
        <v>76.037000000000006</v>
      </c>
    </row>
    <row r="552" spans="1:4" x14ac:dyDescent="0.3">
      <c r="A552" t="s">
        <v>1299</v>
      </c>
      <c r="B552" t="s">
        <v>1300</v>
      </c>
      <c r="C552" t="s">
        <v>198</v>
      </c>
      <c r="D552">
        <v>13.555</v>
      </c>
    </row>
    <row r="553" spans="1:4" x14ac:dyDescent="0.3">
      <c r="A553" t="s">
        <v>1301</v>
      </c>
      <c r="B553" t="s">
        <v>1302</v>
      </c>
      <c r="C553" t="s">
        <v>198</v>
      </c>
      <c r="D553">
        <v>319.73399999999998</v>
      </c>
    </row>
    <row r="554" spans="1:4" x14ac:dyDescent="0.3">
      <c r="A554" t="s">
        <v>1303</v>
      </c>
      <c r="B554" t="s">
        <v>1304</v>
      </c>
      <c r="C554" t="s">
        <v>200</v>
      </c>
      <c r="D554">
        <v>63.557000000000002</v>
      </c>
    </row>
    <row r="555" spans="1:4" x14ac:dyDescent="0.3">
      <c r="A555" t="s">
        <v>1600</v>
      </c>
      <c r="B555" t="s">
        <v>1601</v>
      </c>
      <c r="C555" t="s">
        <v>198</v>
      </c>
      <c r="D555">
        <v>113.571</v>
      </c>
    </row>
    <row r="556" spans="1:4" x14ac:dyDescent="0.3">
      <c r="A556" t="s">
        <v>1305</v>
      </c>
      <c r="B556" t="s">
        <v>1306</v>
      </c>
      <c r="C556" t="s">
        <v>1307</v>
      </c>
      <c r="D556">
        <v>38.21</v>
      </c>
    </row>
    <row r="557" spans="1:4" x14ac:dyDescent="0.3">
      <c r="A557" t="s">
        <v>1308</v>
      </c>
      <c r="B557" t="s">
        <v>1309</v>
      </c>
      <c r="C557" t="s">
        <v>199</v>
      </c>
      <c r="D557">
        <v>85.632999999999996</v>
      </c>
    </row>
    <row r="558" spans="1:4" x14ac:dyDescent="0.3">
      <c r="A558" t="s">
        <v>1972</v>
      </c>
      <c r="B558" t="s">
        <v>1973</v>
      </c>
      <c r="C558" t="s">
        <v>318</v>
      </c>
      <c r="D558">
        <v>23.393999999999998</v>
      </c>
    </row>
    <row r="559" spans="1:4" x14ac:dyDescent="0.3">
      <c r="A559" t="s">
        <v>1994</v>
      </c>
      <c r="B559" t="s">
        <v>1995</v>
      </c>
      <c r="C559" t="s">
        <v>199</v>
      </c>
      <c r="D559">
        <v>71.650999999999996</v>
      </c>
    </row>
    <row r="560" spans="1:4" x14ac:dyDescent="0.3">
      <c r="A560" t="s">
        <v>1918</v>
      </c>
      <c r="B560" t="s">
        <v>1974</v>
      </c>
      <c r="C560" t="s">
        <v>1134</v>
      </c>
      <c r="D560">
        <v>31.257999999999999</v>
      </c>
    </row>
    <row r="561" spans="1:4" x14ac:dyDescent="0.3">
      <c r="A561" t="s">
        <v>2031</v>
      </c>
      <c r="B561" t="s">
        <v>2032</v>
      </c>
      <c r="C561" t="s">
        <v>273</v>
      </c>
      <c r="D561">
        <v>33.228000000000002</v>
      </c>
    </row>
    <row r="562" spans="1:4" x14ac:dyDescent="0.3">
      <c r="A562" t="s">
        <v>1312</v>
      </c>
      <c r="B562" t="s">
        <v>1313</v>
      </c>
      <c r="C562" t="s">
        <v>405</v>
      </c>
      <c r="D562">
        <v>347.875</v>
      </c>
    </row>
    <row r="563" spans="1:4" x14ac:dyDescent="0.3">
      <c r="A563" t="s">
        <v>1314</v>
      </c>
      <c r="B563" t="s">
        <v>1315</v>
      </c>
      <c r="C563" t="s">
        <v>1316</v>
      </c>
      <c r="D563">
        <v>57.216999999999999</v>
      </c>
    </row>
    <row r="564" spans="1:4" x14ac:dyDescent="0.3">
      <c r="A564" t="s">
        <v>1317</v>
      </c>
      <c r="B564" t="s">
        <v>1318</v>
      </c>
      <c r="C564" t="s">
        <v>198</v>
      </c>
      <c r="D564">
        <v>10.404999999999999</v>
      </c>
    </row>
    <row r="565" spans="1:4" x14ac:dyDescent="0.3">
      <c r="A565" t="s">
        <v>1319</v>
      </c>
      <c r="B565" t="s">
        <v>1320</v>
      </c>
      <c r="C565" t="s">
        <v>198</v>
      </c>
      <c r="D565">
        <v>34.747999999999998</v>
      </c>
    </row>
    <row r="566" spans="1:4" x14ac:dyDescent="0.3">
      <c r="A566" t="s">
        <v>1321</v>
      </c>
      <c r="B566" t="s">
        <v>1322</v>
      </c>
      <c r="C566" t="s">
        <v>659</v>
      </c>
      <c r="D566">
        <v>305.44900000000001</v>
      </c>
    </row>
    <row r="567" spans="1:4" x14ac:dyDescent="0.3">
      <c r="A567" t="s">
        <v>1996</v>
      </c>
      <c r="B567" t="s">
        <v>1997</v>
      </c>
      <c r="C567" t="s">
        <v>688</v>
      </c>
      <c r="D567">
        <v>12.8</v>
      </c>
    </row>
    <row r="568" spans="1:4" x14ac:dyDescent="0.3">
      <c r="A568" t="s">
        <v>1323</v>
      </c>
      <c r="B568" t="s">
        <v>1324</v>
      </c>
      <c r="C568" t="s">
        <v>273</v>
      </c>
      <c r="D568">
        <v>0.89900000000000002</v>
      </c>
    </row>
    <row r="569" spans="1:4" x14ac:dyDescent="0.3">
      <c r="A569" t="s">
        <v>1325</v>
      </c>
      <c r="B569" t="s">
        <v>1326</v>
      </c>
      <c r="C569" t="s">
        <v>273</v>
      </c>
      <c r="D569">
        <v>325.029</v>
      </c>
    </row>
    <row r="570" spans="1:4" x14ac:dyDescent="0.3">
      <c r="A570" t="s">
        <v>2033</v>
      </c>
      <c r="B570" t="s">
        <v>2034</v>
      </c>
      <c r="C570" t="s">
        <v>200</v>
      </c>
      <c r="D570">
        <v>43.756999999999998</v>
      </c>
    </row>
    <row r="571" spans="1:4" x14ac:dyDescent="0.3">
      <c r="A571" t="s">
        <v>1327</v>
      </c>
      <c r="B571" t="s">
        <v>2034</v>
      </c>
      <c r="C571" t="s">
        <v>198</v>
      </c>
      <c r="D571">
        <v>34.151000000000003</v>
      </c>
    </row>
    <row r="572" spans="1:4" x14ac:dyDescent="0.3">
      <c r="A572" t="s">
        <v>1329</v>
      </c>
      <c r="B572" t="s">
        <v>1330</v>
      </c>
      <c r="C572" t="s">
        <v>199</v>
      </c>
      <c r="D572">
        <v>86.41</v>
      </c>
    </row>
    <row r="573" spans="1:4" x14ac:dyDescent="0.3">
      <c r="A573" t="s">
        <v>1331</v>
      </c>
      <c r="B573" t="s">
        <v>1332</v>
      </c>
      <c r="C573" t="s">
        <v>199</v>
      </c>
      <c r="D573">
        <v>71.494</v>
      </c>
    </row>
    <row r="574" spans="1:4" x14ac:dyDescent="0.3">
      <c r="A574" t="s">
        <v>1333</v>
      </c>
      <c r="B574" t="s">
        <v>1334</v>
      </c>
      <c r="C574" t="s">
        <v>442</v>
      </c>
      <c r="D574">
        <v>1435.6579999999999</v>
      </c>
    </row>
    <row r="575" spans="1:4" x14ac:dyDescent="0.3">
      <c r="A575" t="s">
        <v>1633</v>
      </c>
      <c r="B575" t="s">
        <v>1634</v>
      </c>
      <c r="C575" t="s">
        <v>198</v>
      </c>
      <c r="D575">
        <v>24.6</v>
      </c>
    </row>
    <row r="576" spans="1:4" x14ac:dyDescent="0.3">
      <c r="A576" t="s">
        <v>1335</v>
      </c>
      <c r="B576" t="s">
        <v>1336</v>
      </c>
      <c r="C576" t="s">
        <v>198</v>
      </c>
      <c r="D576">
        <v>3.9079999999999999</v>
      </c>
    </row>
    <row r="577" spans="1:4" x14ac:dyDescent="0.3">
      <c r="A577" t="s">
        <v>1337</v>
      </c>
      <c r="B577" t="s">
        <v>1338</v>
      </c>
      <c r="C577" t="s">
        <v>198</v>
      </c>
      <c r="D577">
        <v>4.9390000000000001</v>
      </c>
    </row>
    <row r="578" spans="1:4" x14ac:dyDescent="0.3">
      <c r="A578" t="s">
        <v>1339</v>
      </c>
      <c r="B578" t="s">
        <v>1340</v>
      </c>
      <c r="C578" t="s">
        <v>198</v>
      </c>
      <c r="D578">
        <v>3420.7809999999999</v>
      </c>
    </row>
    <row r="579" spans="1:4" x14ac:dyDescent="0.3">
      <c r="A579" t="s">
        <v>1341</v>
      </c>
      <c r="B579" t="s">
        <v>1342</v>
      </c>
      <c r="C579" t="s">
        <v>199</v>
      </c>
      <c r="D579">
        <v>8.6240000000000006</v>
      </c>
    </row>
    <row r="580" spans="1:4" x14ac:dyDescent="0.3">
      <c r="A580" t="s">
        <v>1343</v>
      </c>
      <c r="B580" t="s">
        <v>1344</v>
      </c>
      <c r="C580" t="s">
        <v>553</v>
      </c>
      <c r="D580">
        <v>15.646000000000001</v>
      </c>
    </row>
    <row r="581" spans="1:4" x14ac:dyDescent="0.3">
      <c r="A581" t="s">
        <v>1345</v>
      </c>
      <c r="B581" t="s">
        <v>1346</v>
      </c>
      <c r="C581" t="s">
        <v>198</v>
      </c>
      <c r="D581">
        <v>7.6609999999999996</v>
      </c>
    </row>
    <row r="582" spans="1:4" x14ac:dyDescent="0.3">
      <c r="A582" t="s">
        <v>1347</v>
      </c>
      <c r="B582" t="s">
        <v>1348</v>
      </c>
      <c r="C582" t="s">
        <v>522</v>
      </c>
      <c r="D582">
        <v>10.49</v>
      </c>
    </row>
    <row r="583" spans="1:4" x14ac:dyDescent="0.3">
      <c r="A583" t="s">
        <v>1349</v>
      </c>
      <c r="B583" t="s">
        <v>1350</v>
      </c>
      <c r="C583" t="s">
        <v>951</v>
      </c>
      <c r="D583">
        <v>52.45</v>
      </c>
    </row>
    <row r="584" spans="1:4" x14ac:dyDescent="0.3">
      <c r="A584" t="s">
        <v>1351</v>
      </c>
      <c r="B584" t="s">
        <v>1352</v>
      </c>
      <c r="C584" t="s">
        <v>1353</v>
      </c>
      <c r="D584">
        <v>20.98</v>
      </c>
    </row>
    <row r="585" spans="1:4" x14ac:dyDescent="0.3">
      <c r="A585" t="s">
        <v>1354</v>
      </c>
      <c r="B585" t="s">
        <v>1355</v>
      </c>
      <c r="C585" t="s">
        <v>522</v>
      </c>
      <c r="D585">
        <v>52.45</v>
      </c>
    </row>
    <row r="586" spans="1:4" x14ac:dyDescent="0.3">
      <c r="A586" t="s">
        <v>1356</v>
      </c>
      <c r="B586" t="s">
        <v>1357</v>
      </c>
      <c r="C586" t="s">
        <v>198</v>
      </c>
      <c r="D586">
        <v>1.093</v>
      </c>
    </row>
    <row r="587" spans="1:4" x14ac:dyDescent="0.3">
      <c r="A587" t="s">
        <v>1358</v>
      </c>
      <c r="B587" t="s">
        <v>1359</v>
      </c>
      <c r="C587" t="s">
        <v>198</v>
      </c>
      <c r="D587">
        <v>0.997</v>
      </c>
    </row>
    <row r="588" spans="1:4" x14ac:dyDescent="0.3">
      <c r="A588" t="s">
        <v>1360</v>
      </c>
      <c r="B588" t="s">
        <v>1361</v>
      </c>
      <c r="C588" t="s">
        <v>198</v>
      </c>
      <c r="D588">
        <v>1.4999999999999999E-2</v>
      </c>
    </row>
    <row r="589" spans="1:4" x14ac:dyDescent="0.3">
      <c r="A589" t="s">
        <v>1364</v>
      </c>
      <c r="B589" t="s">
        <v>1365</v>
      </c>
      <c r="C589" t="s">
        <v>200</v>
      </c>
      <c r="D589">
        <v>0.25600000000000001</v>
      </c>
    </row>
    <row r="590" spans="1:4" x14ac:dyDescent="0.3">
      <c r="A590" t="s">
        <v>1368</v>
      </c>
      <c r="B590" t="s">
        <v>1369</v>
      </c>
      <c r="C590" t="s">
        <v>1134</v>
      </c>
      <c r="D590">
        <v>0.58899999999999997</v>
      </c>
    </row>
    <row r="591" spans="1:4" x14ac:dyDescent="0.3">
      <c r="A591" t="s">
        <v>1374</v>
      </c>
      <c r="B591" t="s">
        <v>1375</v>
      </c>
      <c r="C591" t="s">
        <v>1376</v>
      </c>
      <c r="D591">
        <v>52421.578999999998</v>
      </c>
    </row>
    <row r="592" spans="1:4" x14ac:dyDescent="0.3">
      <c r="A592" t="s">
        <v>191</v>
      </c>
      <c r="B592" t="s">
        <v>1377</v>
      </c>
      <c r="C592" t="s">
        <v>199</v>
      </c>
      <c r="D592">
        <v>200.51499999999999</v>
      </c>
    </row>
    <row r="593" spans="1:4" x14ac:dyDescent="0.3">
      <c r="A593" t="s">
        <v>1378</v>
      </c>
      <c r="B593" t="s">
        <v>1379</v>
      </c>
      <c r="C593" t="s">
        <v>452</v>
      </c>
      <c r="D593">
        <v>54.838000000000001</v>
      </c>
    </row>
    <row r="594" spans="1:4" x14ac:dyDescent="0.3">
      <c r="A594" t="s">
        <v>1380</v>
      </c>
      <c r="B594" t="s">
        <v>1381</v>
      </c>
      <c r="C594" t="s">
        <v>1382</v>
      </c>
      <c r="D594">
        <v>140.40899999999999</v>
      </c>
    </row>
    <row r="595" spans="1:4" x14ac:dyDescent="0.3">
      <c r="A595" t="s">
        <v>1383</v>
      </c>
      <c r="B595" t="s">
        <v>1384</v>
      </c>
      <c r="C595" t="s">
        <v>360</v>
      </c>
      <c r="D595">
        <v>0.82199999999999995</v>
      </c>
    </row>
    <row r="596" spans="1:4" x14ac:dyDescent="0.3">
      <c r="A596" t="s">
        <v>1385</v>
      </c>
      <c r="B596" t="s">
        <v>1386</v>
      </c>
      <c r="C596" t="s">
        <v>1042</v>
      </c>
      <c r="D596">
        <v>30.442</v>
      </c>
    </row>
    <row r="597" spans="1:4" x14ac:dyDescent="0.3">
      <c r="A597" t="s">
        <v>1387</v>
      </c>
      <c r="B597" t="s">
        <v>1388</v>
      </c>
      <c r="C597" t="s">
        <v>1042</v>
      </c>
      <c r="D597">
        <v>9.8000000000000007</v>
      </c>
    </row>
    <row r="598" spans="1:4" x14ac:dyDescent="0.3">
      <c r="A598" t="s">
        <v>1389</v>
      </c>
      <c r="B598" t="s">
        <v>1390</v>
      </c>
      <c r="C598" t="s">
        <v>1042</v>
      </c>
      <c r="D598">
        <v>31.971</v>
      </c>
    </row>
    <row r="599" spans="1:4" x14ac:dyDescent="0.3">
      <c r="A599" t="s">
        <v>1393</v>
      </c>
      <c r="B599" t="s">
        <v>1394</v>
      </c>
      <c r="C599" t="s">
        <v>1042</v>
      </c>
      <c r="D599">
        <v>42.701999999999998</v>
      </c>
    </row>
    <row r="600" spans="1:4" x14ac:dyDescent="0.3">
      <c r="A600" t="s">
        <v>1395</v>
      </c>
      <c r="B600" t="s">
        <v>1396</v>
      </c>
      <c r="C600" t="s">
        <v>1042</v>
      </c>
      <c r="D600">
        <v>6.9870000000000001</v>
      </c>
    </row>
    <row r="601" spans="1:4" x14ac:dyDescent="0.3">
      <c r="A601" t="s">
        <v>1403</v>
      </c>
      <c r="B601" t="s">
        <v>1404</v>
      </c>
      <c r="C601" t="s">
        <v>1042</v>
      </c>
      <c r="D601">
        <v>43.823</v>
      </c>
    </row>
    <row r="602" spans="1:4" x14ac:dyDescent="0.3">
      <c r="A602" t="s">
        <v>1407</v>
      </c>
      <c r="B602" t="s">
        <v>1408</v>
      </c>
      <c r="C602" t="s">
        <v>1042</v>
      </c>
      <c r="D602">
        <v>134.05500000000001</v>
      </c>
    </row>
    <row r="603" spans="1:4" x14ac:dyDescent="0.3">
      <c r="A603" t="s">
        <v>1409</v>
      </c>
      <c r="B603" t="s">
        <v>1410</v>
      </c>
      <c r="C603" t="s">
        <v>1042</v>
      </c>
      <c r="D603">
        <v>101.03700000000001</v>
      </c>
    </row>
    <row r="604" spans="1:4" x14ac:dyDescent="0.3">
      <c r="A604" t="s">
        <v>1411</v>
      </c>
      <c r="B604" t="s">
        <v>1412</v>
      </c>
      <c r="C604" t="s">
        <v>198</v>
      </c>
      <c r="D604">
        <v>19.478000000000002</v>
      </c>
    </row>
    <row r="605" spans="1:4" x14ac:dyDescent="0.3">
      <c r="A605" t="s">
        <v>1413</v>
      </c>
      <c r="B605" t="s">
        <v>1414</v>
      </c>
      <c r="C605" t="s">
        <v>1042</v>
      </c>
      <c r="D605">
        <v>127.551</v>
      </c>
    </row>
    <row r="606" spans="1:4" x14ac:dyDescent="0.3">
      <c r="A606" t="s">
        <v>1417</v>
      </c>
      <c r="B606" t="s">
        <v>1418</v>
      </c>
      <c r="C606" t="s">
        <v>1042</v>
      </c>
      <c r="D606">
        <v>535.60199999999998</v>
      </c>
    </row>
    <row r="607" spans="1:4" x14ac:dyDescent="0.3">
      <c r="A607" t="s">
        <v>1419</v>
      </c>
      <c r="B607" t="s">
        <v>1420</v>
      </c>
      <c r="C607" t="s">
        <v>1042</v>
      </c>
      <c r="D607">
        <v>95.942999999999998</v>
      </c>
    </row>
    <row r="608" spans="1:4" x14ac:dyDescent="0.3">
      <c r="A608" t="s">
        <v>1998</v>
      </c>
      <c r="B608" t="s">
        <v>1999</v>
      </c>
      <c r="C608" t="s">
        <v>1042</v>
      </c>
      <c r="D608">
        <v>150.57499999999999</v>
      </c>
    </row>
    <row r="609" spans="1:4" x14ac:dyDescent="0.3">
      <c r="A609" t="s">
        <v>1423</v>
      </c>
      <c r="B609" t="s">
        <v>1424</v>
      </c>
      <c r="C609" t="s">
        <v>1042</v>
      </c>
      <c r="D609">
        <v>154.30500000000001</v>
      </c>
    </row>
    <row r="610" spans="1:4" x14ac:dyDescent="0.3">
      <c r="A610" t="s">
        <v>2000</v>
      </c>
      <c r="B610" t="s">
        <v>2001</v>
      </c>
      <c r="C610" t="s">
        <v>1042</v>
      </c>
      <c r="D610">
        <v>223.72499999999999</v>
      </c>
    </row>
    <row r="611" spans="1:4" x14ac:dyDescent="0.3">
      <c r="A611" t="s">
        <v>1425</v>
      </c>
      <c r="B611" t="s">
        <v>1426</v>
      </c>
      <c r="C611" t="s">
        <v>1042</v>
      </c>
      <c r="D611">
        <v>83.394999999999996</v>
      </c>
    </row>
    <row r="612" spans="1:4" x14ac:dyDescent="0.3">
      <c r="A612" t="s">
        <v>1427</v>
      </c>
      <c r="B612" t="s">
        <v>1428</v>
      </c>
      <c r="C612" t="s">
        <v>1042</v>
      </c>
      <c r="D612">
        <v>110.645</v>
      </c>
    </row>
    <row r="613" spans="1:4" x14ac:dyDescent="0.3">
      <c r="A613" t="s">
        <v>1429</v>
      </c>
      <c r="B613" t="s">
        <v>1430</v>
      </c>
      <c r="C613" t="s">
        <v>452</v>
      </c>
      <c r="D613">
        <v>0.30599999999999999</v>
      </c>
    </row>
    <row r="614" spans="1:4" x14ac:dyDescent="0.3">
      <c r="A614" t="s">
        <v>1431</v>
      </c>
      <c r="B614" t="s">
        <v>1432</v>
      </c>
      <c r="C614" t="s">
        <v>199</v>
      </c>
      <c r="D614">
        <v>40.573999999999998</v>
      </c>
    </row>
    <row r="615" spans="1:4" x14ac:dyDescent="0.3">
      <c r="A615" t="s">
        <v>1433</v>
      </c>
      <c r="B615" t="s">
        <v>1434</v>
      </c>
      <c r="C615" t="s">
        <v>199</v>
      </c>
      <c r="D615">
        <v>39.584000000000003</v>
      </c>
    </row>
    <row r="616" spans="1:4" x14ac:dyDescent="0.3">
      <c r="A616" t="s">
        <v>1435</v>
      </c>
      <c r="B616" t="s">
        <v>1436</v>
      </c>
      <c r="C616" t="s">
        <v>360</v>
      </c>
      <c r="D616">
        <v>0.81299999999999994</v>
      </c>
    </row>
    <row r="617" spans="1:4" x14ac:dyDescent="0.3">
      <c r="A617" t="s">
        <v>1437</v>
      </c>
      <c r="B617" t="s">
        <v>1438</v>
      </c>
      <c r="C617" t="s">
        <v>432</v>
      </c>
      <c r="D617">
        <v>8.1259999999999994</v>
      </c>
    </row>
    <row r="618" spans="1:4" x14ac:dyDescent="0.3">
      <c r="A618" t="s">
        <v>1602</v>
      </c>
      <c r="B618" t="s">
        <v>1603</v>
      </c>
      <c r="C618" t="s">
        <v>199</v>
      </c>
      <c r="D618">
        <v>39.768000000000001</v>
      </c>
    </row>
    <row r="619" spans="1:4" x14ac:dyDescent="0.3">
      <c r="A619" t="s">
        <v>1439</v>
      </c>
      <c r="B619" t="s">
        <v>1440</v>
      </c>
      <c r="C619" t="s">
        <v>396</v>
      </c>
      <c r="D619">
        <v>204.13800000000001</v>
      </c>
    </row>
    <row r="620" spans="1:4" x14ac:dyDescent="0.3">
      <c r="A620" t="s">
        <v>1441</v>
      </c>
      <c r="B620" t="s">
        <v>1442</v>
      </c>
      <c r="C620" t="s">
        <v>452</v>
      </c>
      <c r="D620">
        <v>0.33700000000000002</v>
      </c>
    </row>
    <row r="621" spans="1:4" x14ac:dyDescent="0.3">
      <c r="A621" t="s">
        <v>1443</v>
      </c>
      <c r="B621" t="s">
        <v>1444</v>
      </c>
      <c r="C621" t="s">
        <v>396</v>
      </c>
      <c r="D621">
        <v>202.09899999999999</v>
      </c>
    </row>
    <row r="622" spans="1:4" x14ac:dyDescent="0.3">
      <c r="A622" t="s">
        <v>1635</v>
      </c>
      <c r="B622" t="s">
        <v>1636</v>
      </c>
      <c r="C622" t="s">
        <v>199</v>
      </c>
      <c r="D622">
        <v>61.104999999999997</v>
      </c>
    </row>
    <row r="623" spans="1:4" x14ac:dyDescent="0.3">
      <c r="A623" t="s">
        <v>1637</v>
      </c>
      <c r="B623" t="s">
        <v>1638</v>
      </c>
      <c r="C623" t="s">
        <v>199</v>
      </c>
      <c r="D623">
        <v>48.496000000000002</v>
      </c>
    </row>
    <row r="624" spans="1:4" x14ac:dyDescent="0.3">
      <c r="A624" t="s">
        <v>1604</v>
      </c>
      <c r="B624" t="s">
        <v>1605</v>
      </c>
      <c r="C624" t="s">
        <v>199</v>
      </c>
      <c r="D624">
        <v>55.715000000000003</v>
      </c>
    </row>
    <row r="625" spans="1:4" x14ac:dyDescent="0.3">
      <c r="A625" t="s">
        <v>1606</v>
      </c>
      <c r="B625" t="s">
        <v>1607</v>
      </c>
      <c r="C625" t="s">
        <v>199</v>
      </c>
      <c r="D625">
        <v>57.347000000000001</v>
      </c>
    </row>
    <row r="626" spans="1:4" x14ac:dyDescent="0.3">
      <c r="A626" t="s">
        <v>1639</v>
      </c>
      <c r="B626" t="s">
        <v>1640</v>
      </c>
      <c r="C626" t="s">
        <v>199</v>
      </c>
      <c r="D626">
        <v>55.786999999999999</v>
      </c>
    </row>
    <row r="627" spans="1:4" x14ac:dyDescent="0.3">
      <c r="A627" t="s">
        <v>1608</v>
      </c>
      <c r="B627" t="s">
        <v>1609</v>
      </c>
      <c r="C627" t="s">
        <v>199</v>
      </c>
      <c r="D627">
        <v>47.408999999999999</v>
      </c>
    </row>
    <row r="628" spans="1:4" x14ac:dyDescent="0.3">
      <c r="A628" t="s">
        <v>1641</v>
      </c>
      <c r="B628" t="s">
        <v>1642</v>
      </c>
      <c r="C628" t="s">
        <v>199</v>
      </c>
      <c r="D628">
        <v>50.588999999999999</v>
      </c>
    </row>
    <row r="629" spans="1:4" x14ac:dyDescent="0.3">
      <c r="A629" t="s">
        <v>1643</v>
      </c>
      <c r="B629" t="s">
        <v>1644</v>
      </c>
      <c r="C629" t="s">
        <v>199</v>
      </c>
      <c r="D629">
        <v>56.37</v>
      </c>
    </row>
    <row r="630" spans="1:4" x14ac:dyDescent="0.3">
      <c r="A630" t="s">
        <v>1645</v>
      </c>
      <c r="B630" t="s">
        <v>1646</v>
      </c>
      <c r="C630" t="s">
        <v>396</v>
      </c>
      <c r="D630">
        <v>222.86099999999999</v>
      </c>
    </row>
    <row r="631" spans="1:4" x14ac:dyDescent="0.3">
      <c r="A631" t="s">
        <v>1975</v>
      </c>
      <c r="B631" t="s">
        <v>1976</v>
      </c>
      <c r="C631" t="s">
        <v>199</v>
      </c>
      <c r="D631">
        <v>45.304000000000002</v>
      </c>
    </row>
    <row r="632" spans="1:4" x14ac:dyDescent="0.3">
      <c r="A632" t="s">
        <v>2002</v>
      </c>
      <c r="B632" t="s">
        <v>2003</v>
      </c>
      <c r="C632" t="s">
        <v>396</v>
      </c>
      <c r="D632">
        <v>269.14100000000002</v>
      </c>
    </row>
    <row r="633" spans="1:4" x14ac:dyDescent="0.3">
      <c r="A633" t="s">
        <v>2004</v>
      </c>
      <c r="B633" t="s">
        <v>2005</v>
      </c>
      <c r="C633" t="s">
        <v>199</v>
      </c>
      <c r="D633">
        <v>64.328999999999994</v>
      </c>
    </row>
    <row r="634" spans="1:4" x14ac:dyDescent="0.3">
      <c r="A634" t="s">
        <v>1445</v>
      </c>
      <c r="B634" t="s">
        <v>1446</v>
      </c>
      <c r="C634" t="s">
        <v>204</v>
      </c>
      <c r="D634">
        <v>18.97</v>
      </c>
    </row>
    <row r="635" spans="1:4" x14ac:dyDescent="0.3">
      <c r="A635" t="s">
        <v>1447</v>
      </c>
      <c r="B635" t="s">
        <v>1448</v>
      </c>
      <c r="C635" t="s">
        <v>204</v>
      </c>
      <c r="D635">
        <v>30.766999999999999</v>
      </c>
    </row>
    <row r="636" spans="1:4" x14ac:dyDescent="0.3">
      <c r="A636" t="s">
        <v>1449</v>
      </c>
      <c r="B636" t="s">
        <v>1450</v>
      </c>
      <c r="C636" t="s">
        <v>204</v>
      </c>
      <c r="D636">
        <v>46.15</v>
      </c>
    </row>
    <row r="637" spans="1:4" x14ac:dyDescent="0.3">
      <c r="A637" t="s">
        <v>1451</v>
      </c>
      <c r="B637" t="s">
        <v>1452</v>
      </c>
      <c r="C637" t="s">
        <v>204</v>
      </c>
      <c r="D637">
        <v>7.2999999999999995E-2</v>
      </c>
    </row>
    <row r="638" spans="1:4" x14ac:dyDescent="0.3">
      <c r="A638" t="s">
        <v>1612</v>
      </c>
      <c r="B638" t="s">
        <v>1613</v>
      </c>
      <c r="C638" t="s">
        <v>204</v>
      </c>
      <c r="D638">
        <v>0.24199999999999999</v>
      </c>
    </row>
    <row r="639" spans="1:4" x14ac:dyDescent="0.3">
      <c r="A639" t="s">
        <v>1453</v>
      </c>
      <c r="B639" t="s">
        <v>1454</v>
      </c>
      <c r="C639" t="s">
        <v>204</v>
      </c>
      <c r="D639">
        <v>0.185</v>
      </c>
    </row>
    <row r="640" spans="1:4" x14ac:dyDescent="0.3">
      <c r="A640" t="s">
        <v>1455</v>
      </c>
      <c r="B640" t="s">
        <v>1456</v>
      </c>
      <c r="C640" t="s">
        <v>204</v>
      </c>
      <c r="D640">
        <v>0.80700000000000005</v>
      </c>
    </row>
    <row r="641" spans="1:4" x14ac:dyDescent="0.3">
      <c r="A641" t="s">
        <v>1457</v>
      </c>
      <c r="B641" t="s">
        <v>1458</v>
      </c>
      <c r="C641" t="s">
        <v>204</v>
      </c>
      <c r="D641">
        <v>0.34399999999999997</v>
      </c>
    </row>
    <row r="642" spans="1:4" x14ac:dyDescent="0.3">
      <c r="A642" t="s">
        <v>1459</v>
      </c>
      <c r="B642" t="s">
        <v>1460</v>
      </c>
      <c r="C642" t="s">
        <v>204</v>
      </c>
      <c r="D642">
        <v>0.121</v>
      </c>
    </row>
    <row r="643" spans="1:4" x14ac:dyDescent="0.3">
      <c r="A643" t="s">
        <v>1461</v>
      </c>
      <c r="B643" t="s">
        <v>1462</v>
      </c>
      <c r="C643" t="s">
        <v>1463</v>
      </c>
      <c r="D643">
        <v>1787.0319999999999</v>
      </c>
    </row>
    <row r="644" spans="1:4" x14ac:dyDescent="0.3">
      <c r="A644" t="s">
        <v>1464</v>
      </c>
      <c r="B644" t="s">
        <v>1465</v>
      </c>
      <c r="C644" t="s">
        <v>1466</v>
      </c>
      <c r="D644">
        <v>1787.0319999999999</v>
      </c>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861AC-744B-4E63-8CEB-C3703A432B01}">
  <dimension ref="A1:D659"/>
  <sheetViews>
    <sheetView topLeftCell="A574" workbookViewId="0">
      <selection activeCell="A591" sqref="A591"/>
    </sheetView>
  </sheetViews>
  <sheetFormatPr defaultRowHeight="14.4" x14ac:dyDescent="0.3"/>
  <cols>
    <col min="1" max="1" width="19.21875" customWidth="1"/>
    <col min="2" max="2" width="28.5546875" customWidth="1"/>
    <col min="3" max="3" width="25.5546875" customWidth="1"/>
    <col min="4" max="4" width="18.21875" customWidth="1"/>
  </cols>
  <sheetData>
    <row r="1" spans="1:4" x14ac:dyDescent="0.3">
      <c r="A1" s="167" t="s">
        <v>201</v>
      </c>
      <c r="B1" s="166" t="s">
        <v>202</v>
      </c>
      <c r="C1" s="168" t="s">
        <v>196</v>
      </c>
      <c r="D1" s="177" t="s">
        <v>197</v>
      </c>
    </row>
    <row r="2" spans="1:4" x14ac:dyDescent="0.3">
      <c r="A2" s="162">
        <v>90371</v>
      </c>
      <c r="B2" s="173" t="s">
        <v>203</v>
      </c>
      <c r="C2" s="169" t="s">
        <v>204</v>
      </c>
      <c r="D2" s="178">
        <v>138.87299999999999</v>
      </c>
    </row>
    <row r="3" spans="1:4" x14ac:dyDescent="0.3">
      <c r="A3" s="162">
        <v>90375</v>
      </c>
      <c r="B3" s="173" t="s">
        <v>205</v>
      </c>
      <c r="C3" s="169" t="s">
        <v>206</v>
      </c>
      <c r="D3" s="178">
        <v>286.01600000000002</v>
      </c>
    </row>
    <row r="4" spans="1:4" x14ac:dyDescent="0.3">
      <c r="A4" s="162">
        <v>90376</v>
      </c>
      <c r="B4" s="173" t="s">
        <v>207</v>
      </c>
      <c r="C4" s="169" t="s">
        <v>206</v>
      </c>
      <c r="D4" s="178">
        <v>353.48899999999998</v>
      </c>
    </row>
    <row r="5" spans="1:4" x14ac:dyDescent="0.3">
      <c r="A5" s="162">
        <v>90377</v>
      </c>
      <c r="B5" s="173" t="s">
        <v>2006</v>
      </c>
      <c r="C5" s="169" t="s">
        <v>206</v>
      </c>
      <c r="D5" s="178">
        <v>241.202</v>
      </c>
    </row>
    <row r="6" spans="1:4" x14ac:dyDescent="0.3">
      <c r="A6" s="162">
        <v>90586</v>
      </c>
      <c r="B6" s="173" t="s">
        <v>210</v>
      </c>
      <c r="C6" s="169" t="s">
        <v>211</v>
      </c>
      <c r="D6" s="178">
        <v>141.65199999999999</v>
      </c>
    </row>
    <row r="7" spans="1:4" x14ac:dyDescent="0.3">
      <c r="A7" s="162">
        <v>90632</v>
      </c>
      <c r="B7" s="173" t="s">
        <v>212</v>
      </c>
      <c r="C7" s="169" t="s">
        <v>204</v>
      </c>
      <c r="D7" s="178">
        <v>68.745000000000005</v>
      </c>
    </row>
    <row r="8" spans="1:4" x14ac:dyDescent="0.3">
      <c r="A8" s="162">
        <v>90662</v>
      </c>
      <c r="B8" s="173" t="s">
        <v>217</v>
      </c>
      <c r="C8" s="170" t="s">
        <v>216</v>
      </c>
      <c r="D8" s="178">
        <v>65.260999999999996</v>
      </c>
    </row>
    <row r="9" spans="1:4" x14ac:dyDescent="0.3">
      <c r="A9" s="162">
        <v>90670</v>
      </c>
      <c r="B9" s="173" t="s">
        <v>218</v>
      </c>
      <c r="C9" s="169" t="s">
        <v>216</v>
      </c>
      <c r="D9" s="178">
        <v>257.98899999999998</v>
      </c>
    </row>
    <row r="10" spans="1:4" x14ac:dyDescent="0.3">
      <c r="A10" s="162">
        <v>90671</v>
      </c>
      <c r="B10" s="173" t="s">
        <v>2007</v>
      </c>
      <c r="C10" s="171" t="s">
        <v>1274</v>
      </c>
      <c r="D10" s="178">
        <v>246.19499999999999</v>
      </c>
    </row>
    <row r="11" spans="1:4" x14ac:dyDescent="0.3">
      <c r="A11" s="162">
        <v>90672</v>
      </c>
      <c r="B11" s="173" t="s">
        <v>1547</v>
      </c>
      <c r="C11" s="169" t="s">
        <v>1548</v>
      </c>
      <c r="D11" s="178">
        <v>26.876000000000001</v>
      </c>
    </row>
    <row r="12" spans="1:4" x14ac:dyDescent="0.3">
      <c r="A12" s="163">
        <v>90674</v>
      </c>
      <c r="B12" s="173" t="s">
        <v>219</v>
      </c>
      <c r="C12" s="172" t="s">
        <v>216</v>
      </c>
      <c r="D12" s="178">
        <v>29.94</v>
      </c>
    </row>
    <row r="13" spans="1:4" x14ac:dyDescent="0.3">
      <c r="A13" s="162">
        <v>90675</v>
      </c>
      <c r="B13" s="173" t="s">
        <v>220</v>
      </c>
      <c r="C13" s="169" t="s">
        <v>204</v>
      </c>
      <c r="D13" s="178">
        <v>291.791</v>
      </c>
    </row>
    <row r="14" spans="1:4" x14ac:dyDescent="0.3">
      <c r="A14" s="162">
        <v>90677</v>
      </c>
      <c r="B14" s="173" t="s">
        <v>2008</v>
      </c>
      <c r="C14" s="169" t="s">
        <v>216</v>
      </c>
      <c r="D14" s="178">
        <v>283.71699999999998</v>
      </c>
    </row>
    <row r="15" spans="1:4" x14ac:dyDescent="0.3">
      <c r="A15" s="162">
        <v>90682</v>
      </c>
      <c r="B15" s="173" t="s">
        <v>221</v>
      </c>
      <c r="C15" s="172" t="s">
        <v>216</v>
      </c>
      <c r="D15" s="178">
        <v>65.260999999999996</v>
      </c>
    </row>
    <row r="16" spans="1:4" x14ac:dyDescent="0.3">
      <c r="A16" s="163">
        <v>90685</v>
      </c>
      <c r="B16" s="173" t="s">
        <v>222</v>
      </c>
      <c r="C16" s="173" t="s">
        <v>223</v>
      </c>
      <c r="D16" s="178">
        <v>21.638999999999999</v>
      </c>
    </row>
    <row r="17" spans="1:4" x14ac:dyDescent="0.3">
      <c r="A17" s="163">
        <v>90686</v>
      </c>
      <c r="B17" s="173" t="s">
        <v>224</v>
      </c>
      <c r="C17" s="173" t="s">
        <v>214</v>
      </c>
      <c r="D17" s="178">
        <v>20.526</v>
      </c>
    </row>
    <row r="18" spans="1:4" x14ac:dyDescent="0.3">
      <c r="A18" s="162">
        <v>90687</v>
      </c>
      <c r="B18" s="173" t="s">
        <v>225</v>
      </c>
      <c r="C18" s="169" t="s">
        <v>226</v>
      </c>
      <c r="D18" s="178">
        <v>9.9529999999999994</v>
      </c>
    </row>
    <row r="19" spans="1:4" x14ac:dyDescent="0.3">
      <c r="A19" s="163">
        <v>90688</v>
      </c>
      <c r="B19" s="173" t="s">
        <v>227</v>
      </c>
      <c r="C19" s="173" t="s">
        <v>216</v>
      </c>
      <c r="D19" s="178">
        <v>19.905999999999999</v>
      </c>
    </row>
    <row r="20" spans="1:4" x14ac:dyDescent="0.3">
      <c r="A20" s="162">
        <v>90694</v>
      </c>
      <c r="B20" s="173" t="s">
        <v>1942</v>
      </c>
      <c r="C20" s="169" t="s">
        <v>216</v>
      </c>
      <c r="D20" s="178">
        <v>66.426000000000002</v>
      </c>
    </row>
    <row r="21" spans="1:4" x14ac:dyDescent="0.3">
      <c r="A21" s="162">
        <v>90714</v>
      </c>
      <c r="B21" s="173" t="s">
        <v>229</v>
      </c>
      <c r="C21" s="169" t="s">
        <v>216</v>
      </c>
      <c r="D21" s="178">
        <v>28.986000000000001</v>
      </c>
    </row>
    <row r="22" spans="1:4" x14ac:dyDescent="0.3">
      <c r="A22" s="162">
        <v>90715</v>
      </c>
      <c r="B22" s="173" t="s">
        <v>230</v>
      </c>
      <c r="C22" s="169" t="s">
        <v>216</v>
      </c>
      <c r="D22" s="178">
        <v>36.76</v>
      </c>
    </row>
    <row r="23" spans="1:4" x14ac:dyDescent="0.3">
      <c r="A23" s="162">
        <v>90732</v>
      </c>
      <c r="B23" s="173" t="s">
        <v>231</v>
      </c>
      <c r="C23" s="169" t="s">
        <v>216</v>
      </c>
      <c r="D23" s="178">
        <v>133.47200000000001</v>
      </c>
    </row>
    <row r="24" spans="1:4" x14ac:dyDescent="0.3">
      <c r="A24" s="162">
        <v>90739</v>
      </c>
      <c r="B24" s="173" t="s">
        <v>232</v>
      </c>
      <c r="C24" s="169" t="s">
        <v>233</v>
      </c>
      <c r="D24" s="178">
        <v>144.21</v>
      </c>
    </row>
    <row r="25" spans="1:4" x14ac:dyDescent="0.3">
      <c r="A25" s="162">
        <v>90740</v>
      </c>
      <c r="B25" s="173" t="s">
        <v>234</v>
      </c>
      <c r="C25" s="169" t="s">
        <v>235</v>
      </c>
      <c r="D25" s="178">
        <v>146.32900000000001</v>
      </c>
    </row>
    <row r="26" spans="1:4" x14ac:dyDescent="0.3">
      <c r="A26" s="162">
        <v>90744</v>
      </c>
      <c r="B26" s="173" t="s">
        <v>236</v>
      </c>
      <c r="C26" s="169" t="s">
        <v>237</v>
      </c>
      <c r="D26" s="178">
        <v>29.042999999999999</v>
      </c>
    </row>
    <row r="27" spans="1:4" x14ac:dyDescent="0.3">
      <c r="A27" s="162">
        <v>90746</v>
      </c>
      <c r="B27" s="173" t="s">
        <v>238</v>
      </c>
      <c r="C27" s="169" t="s">
        <v>239</v>
      </c>
      <c r="D27" s="178">
        <v>70.376000000000005</v>
      </c>
    </row>
    <row r="28" spans="1:4" x14ac:dyDescent="0.3">
      <c r="A28" s="162">
        <v>90747</v>
      </c>
      <c r="B28" s="173" t="s">
        <v>240</v>
      </c>
      <c r="C28" s="169" t="s">
        <v>235</v>
      </c>
      <c r="D28" s="178">
        <v>140.75200000000001</v>
      </c>
    </row>
    <row r="29" spans="1:4" x14ac:dyDescent="0.3">
      <c r="A29" s="162">
        <v>90756</v>
      </c>
      <c r="B29" s="173" t="s">
        <v>241</v>
      </c>
      <c r="C29" s="172" t="s">
        <v>216</v>
      </c>
      <c r="D29" s="178">
        <v>28.37</v>
      </c>
    </row>
    <row r="30" spans="1:4" x14ac:dyDescent="0.3">
      <c r="A30" s="162">
        <v>90759</v>
      </c>
      <c r="B30" s="173" t="s">
        <v>2094</v>
      </c>
      <c r="C30" s="169" t="s">
        <v>834</v>
      </c>
      <c r="D30" s="178">
        <v>74.528000000000006</v>
      </c>
    </row>
    <row r="31" spans="1:4" x14ac:dyDescent="0.3">
      <c r="A31" s="162" t="s">
        <v>1549</v>
      </c>
      <c r="B31" s="173" t="s">
        <v>1550</v>
      </c>
      <c r="C31" s="169" t="s">
        <v>254</v>
      </c>
      <c r="D31" s="178">
        <v>0.13200000000000001</v>
      </c>
    </row>
    <row r="32" spans="1:4" x14ac:dyDescent="0.3">
      <c r="A32" s="162" t="s">
        <v>242</v>
      </c>
      <c r="B32" s="173" t="s">
        <v>243</v>
      </c>
      <c r="C32" s="169" t="s">
        <v>204</v>
      </c>
      <c r="D32" s="178">
        <v>1.4410000000000001</v>
      </c>
    </row>
    <row r="33" spans="1:4" x14ac:dyDescent="0.3">
      <c r="A33" s="162" t="s">
        <v>244</v>
      </c>
      <c r="B33" s="173" t="s">
        <v>245</v>
      </c>
      <c r="C33" s="169" t="s">
        <v>204</v>
      </c>
      <c r="D33" s="178">
        <v>1.85</v>
      </c>
    </row>
    <row r="34" spans="1:4" x14ac:dyDescent="0.3">
      <c r="A34" s="162" t="s">
        <v>246</v>
      </c>
      <c r="B34" s="173" t="s">
        <v>247</v>
      </c>
      <c r="C34" s="169" t="s">
        <v>204</v>
      </c>
      <c r="D34" s="178">
        <v>1.821</v>
      </c>
    </row>
    <row r="35" spans="1:4" x14ac:dyDescent="0.3">
      <c r="A35" s="162" t="s">
        <v>248</v>
      </c>
      <c r="B35" s="173" t="s">
        <v>249</v>
      </c>
      <c r="C35" s="169" t="s">
        <v>204</v>
      </c>
      <c r="D35" s="178">
        <v>1.5589999999999999</v>
      </c>
    </row>
    <row r="36" spans="1:4" x14ac:dyDescent="0.3">
      <c r="A36" s="164" t="s">
        <v>250</v>
      </c>
      <c r="B36" s="173" t="s">
        <v>251</v>
      </c>
      <c r="C36" s="171" t="s">
        <v>204</v>
      </c>
      <c r="D36" s="178">
        <v>14.739000000000001</v>
      </c>
    </row>
    <row r="37" spans="1:4" x14ac:dyDescent="0.3">
      <c r="A37" s="162" t="s">
        <v>252</v>
      </c>
      <c r="B37" s="173" t="s">
        <v>253</v>
      </c>
      <c r="C37" s="174" t="s">
        <v>254</v>
      </c>
      <c r="D37" s="178">
        <v>0.33100000000000002</v>
      </c>
    </row>
    <row r="38" spans="1:4" x14ac:dyDescent="0.3">
      <c r="A38" s="163" t="s">
        <v>255</v>
      </c>
      <c r="B38" s="173" t="s">
        <v>256</v>
      </c>
      <c r="C38" s="173" t="s">
        <v>257</v>
      </c>
      <c r="D38" s="178">
        <v>1225.4449999999999</v>
      </c>
    </row>
    <row r="39" spans="1:4" x14ac:dyDescent="0.3">
      <c r="A39" s="163" t="s">
        <v>258</v>
      </c>
      <c r="B39" s="173" t="s">
        <v>259</v>
      </c>
      <c r="C39" s="173" t="s">
        <v>260</v>
      </c>
      <c r="D39" s="178" t="s">
        <v>1551</v>
      </c>
    </row>
    <row r="40" spans="1:4" x14ac:dyDescent="0.3">
      <c r="A40" s="162" t="s">
        <v>1552</v>
      </c>
      <c r="B40" s="173" t="s">
        <v>1553</v>
      </c>
      <c r="C40" s="169" t="s">
        <v>198</v>
      </c>
      <c r="D40" s="178">
        <v>3.4670000000000001</v>
      </c>
    </row>
    <row r="41" spans="1:4" x14ac:dyDescent="0.3">
      <c r="A41" s="162" t="s">
        <v>1554</v>
      </c>
      <c r="B41" s="173" t="s">
        <v>1555</v>
      </c>
      <c r="C41" s="169" t="s">
        <v>198</v>
      </c>
      <c r="D41" s="178">
        <v>1.0680000000000001</v>
      </c>
    </row>
    <row r="42" spans="1:4" x14ac:dyDescent="0.3">
      <c r="A42" s="162" t="s">
        <v>261</v>
      </c>
      <c r="B42" s="173" t="s">
        <v>262</v>
      </c>
      <c r="C42" s="174" t="s">
        <v>199</v>
      </c>
      <c r="D42" s="178">
        <v>44.22</v>
      </c>
    </row>
    <row r="43" spans="1:4" x14ac:dyDescent="0.3">
      <c r="A43" s="162" t="s">
        <v>265</v>
      </c>
      <c r="B43" s="173" t="s">
        <v>266</v>
      </c>
      <c r="C43" s="169" t="s">
        <v>257</v>
      </c>
      <c r="D43" s="178">
        <v>0.55300000000000005</v>
      </c>
    </row>
    <row r="44" spans="1:4" x14ac:dyDescent="0.3">
      <c r="A44" s="162" t="s">
        <v>267</v>
      </c>
      <c r="B44" s="173" t="s">
        <v>268</v>
      </c>
      <c r="C44" s="169" t="s">
        <v>200</v>
      </c>
      <c r="D44" s="178">
        <v>2.1000000000000001E-2</v>
      </c>
    </row>
    <row r="45" spans="1:4" x14ac:dyDescent="0.3">
      <c r="A45" s="162" t="s">
        <v>269</v>
      </c>
      <c r="B45" s="173" t="s">
        <v>270</v>
      </c>
      <c r="C45" s="169" t="s">
        <v>198</v>
      </c>
      <c r="D45" s="178">
        <v>0.46700000000000003</v>
      </c>
    </row>
    <row r="46" spans="1:4" x14ac:dyDescent="0.3">
      <c r="A46" s="162" t="s">
        <v>271</v>
      </c>
      <c r="B46" s="173" t="s">
        <v>272</v>
      </c>
      <c r="C46" s="169" t="s">
        <v>273</v>
      </c>
      <c r="D46" s="178">
        <v>0.745</v>
      </c>
    </row>
    <row r="47" spans="1:4" x14ac:dyDescent="0.3">
      <c r="A47" s="162" t="s">
        <v>2009</v>
      </c>
      <c r="B47" s="173" t="s">
        <v>2010</v>
      </c>
      <c r="C47" s="171" t="s">
        <v>688</v>
      </c>
      <c r="D47" s="178">
        <v>5.9779999999999998</v>
      </c>
    </row>
    <row r="48" spans="1:4" x14ac:dyDescent="0.3">
      <c r="A48" s="162" t="s">
        <v>274</v>
      </c>
      <c r="B48" s="173" t="s">
        <v>275</v>
      </c>
      <c r="C48" s="169" t="s">
        <v>198</v>
      </c>
      <c r="D48" s="178">
        <v>912.88900000000001</v>
      </c>
    </row>
    <row r="49" spans="1:4" x14ac:dyDescent="0.3">
      <c r="A49" s="162" t="s">
        <v>1556</v>
      </c>
      <c r="B49" s="173" t="s">
        <v>1557</v>
      </c>
      <c r="C49" s="169" t="s">
        <v>198</v>
      </c>
      <c r="D49" s="178">
        <v>311.95999999999998</v>
      </c>
    </row>
    <row r="50" spans="1:4" x14ac:dyDescent="0.3">
      <c r="A50" s="162" t="s">
        <v>276</v>
      </c>
      <c r="B50" s="173" t="s">
        <v>277</v>
      </c>
      <c r="C50" s="169" t="s">
        <v>198</v>
      </c>
      <c r="D50" s="178">
        <v>205.92099999999999</v>
      </c>
    </row>
    <row r="51" spans="1:4" x14ac:dyDescent="0.3">
      <c r="A51" s="163" t="s">
        <v>278</v>
      </c>
      <c r="B51" s="173" t="s">
        <v>279</v>
      </c>
      <c r="C51" s="173" t="s">
        <v>198</v>
      </c>
      <c r="D51" s="178">
        <v>1.72</v>
      </c>
    </row>
    <row r="52" spans="1:4" x14ac:dyDescent="0.3">
      <c r="A52" s="163" t="s">
        <v>280</v>
      </c>
      <c r="B52" s="173" t="s">
        <v>281</v>
      </c>
      <c r="C52" s="173" t="s">
        <v>198</v>
      </c>
      <c r="D52" s="178">
        <v>2194.489</v>
      </c>
    </row>
    <row r="53" spans="1:4" x14ac:dyDescent="0.3">
      <c r="A53" s="162" t="s">
        <v>2104</v>
      </c>
      <c r="B53" s="173" t="s">
        <v>2105</v>
      </c>
      <c r="C53" s="169" t="s">
        <v>513</v>
      </c>
      <c r="D53" s="178">
        <v>72.680999999999997</v>
      </c>
    </row>
    <row r="54" spans="1:4" x14ac:dyDescent="0.3">
      <c r="A54" s="162" t="s">
        <v>285</v>
      </c>
      <c r="B54" s="173" t="s">
        <v>286</v>
      </c>
      <c r="C54" s="169" t="s">
        <v>199</v>
      </c>
      <c r="D54" s="178">
        <v>186.41399999999999</v>
      </c>
    </row>
    <row r="55" spans="1:4" x14ac:dyDescent="0.3">
      <c r="A55" s="162" t="s">
        <v>1558</v>
      </c>
      <c r="B55" s="173" t="s">
        <v>1559</v>
      </c>
      <c r="C55" s="169" t="s">
        <v>273</v>
      </c>
      <c r="D55" s="178">
        <v>98.97</v>
      </c>
    </row>
    <row r="56" spans="1:4" x14ac:dyDescent="0.3">
      <c r="A56" s="162" t="s">
        <v>1615</v>
      </c>
      <c r="B56" s="173" t="s">
        <v>1616</v>
      </c>
      <c r="C56" s="169" t="s">
        <v>396</v>
      </c>
      <c r="D56" s="178">
        <v>107.959</v>
      </c>
    </row>
    <row r="57" spans="1:4" x14ac:dyDescent="0.3">
      <c r="A57" s="162" t="s">
        <v>2011</v>
      </c>
      <c r="B57" s="173" t="s">
        <v>2012</v>
      </c>
      <c r="C57" s="169" t="s">
        <v>198</v>
      </c>
      <c r="D57" s="178">
        <v>5.5119999999999996</v>
      </c>
    </row>
    <row r="58" spans="1:4" x14ac:dyDescent="0.3">
      <c r="A58" s="162" t="s">
        <v>287</v>
      </c>
      <c r="B58" s="173" t="s">
        <v>288</v>
      </c>
      <c r="C58" s="169" t="s">
        <v>199</v>
      </c>
      <c r="D58" s="178">
        <v>4.6130000000000004</v>
      </c>
    </row>
    <row r="59" spans="1:4" x14ac:dyDescent="0.3">
      <c r="A59" s="162" t="s">
        <v>289</v>
      </c>
      <c r="B59" s="173" t="s">
        <v>290</v>
      </c>
      <c r="C59" s="169" t="s">
        <v>199</v>
      </c>
      <c r="D59" s="178">
        <v>5.1520000000000001</v>
      </c>
    </row>
    <row r="60" spans="1:4" x14ac:dyDescent="0.3">
      <c r="A60" s="162" t="s">
        <v>291</v>
      </c>
      <c r="B60" s="173" t="s">
        <v>292</v>
      </c>
      <c r="C60" s="169" t="s">
        <v>257</v>
      </c>
      <c r="D60" s="178">
        <v>0.80300000000000005</v>
      </c>
    </row>
    <row r="61" spans="1:4" x14ac:dyDescent="0.3">
      <c r="A61" s="162" t="s">
        <v>293</v>
      </c>
      <c r="B61" s="173" t="s">
        <v>294</v>
      </c>
      <c r="C61" s="169" t="s">
        <v>295</v>
      </c>
      <c r="D61" s="178">
        <v>11.714</v>
      </c>
    </row>
    <row r="62" spans="1:4" x14ac:dyDescent="0.3">
      <c r="A62" s="162" t="s">
        <v>296</v>
      </c>
      <c r="B62" s="173" t="s">
        <v>297</v>
      </c>
      <c r="C62" s="169" t="s">
        <v>209</v>
      </c>
      <c r="D62" s="178">
        <v>46.322000000000003</v>
      </c>
    </row>
    <row r="63" spans="1:4" x14ac:dyDescent="0.3">
      <c r="A63" s="162" t="s">
        <v>298</v>
      </c>
      <c r="B63" s="173" t="s">
        <v>299</v>
      </c>
      <c r="C63" s="169" t="s">
        <v>199</v>
      </c>
      <c r="D63" s="178">
        <v>10.198</v>
      </c>
    </row>
    <row r="64" spans="1:4" x14ac:dyDescent="0.3">
      <c r="A64" s="162" t="s">
        <v>300</v>
      </c>
      <c r="B64" s="173" t="s">
        <v>301</v>
      </c>
      <c r="C64" s="169" t="s">
        <v>199</v>
      </c>
      <c r="D64" s="178">
        <v>26.363</v>
      </c>
    </row>
    <row r="65" spans="1:4" x14ac:dyDescent="0.3">
      <c r="A65" s="162" t="s">
        <v>302</v>
      </c>
      <c r="B65" s="173" t="s">
        <v>303</v>
      </c>
      <c r="C65" s="169" t="s">
        <v>284</v>
      </c>
      <c r="D65" s="178">
        <v>0.746</v>
      </c>
    </row>
    <row r="66" spans="1:4" x14ac:dyDescent="0.3">
      <c r="A66" s="162" t="s">
        <v>1617</v>
      </c>
      <c r="B66" s="173" t="s">
        <v>1618</v>
      </c>
      <c r="C66" s="169" t="s">
        <v>200</v>
      </c>
      <c r="D66" s="178">
        <v>3.1280000000000001</v>
      </c>
    </row>
    <row r="67" spans="1:4" x14ac:dyDescent="0.3">
      <c r="A67" s="162" t="s">
        <v>304</v>
      </c>
      <c r="B67" s="173" t="s">
        <v>305</v>
      </c>
      <c r="C67" s="169" t="s">
        <v>306</v>
      </c>
      <c r="D67" s="178">
        <v>2.238</v>
      </c>
    </row>
    <row r="68" spans="1:4" x14ac:dyDescent="0.3">
      <c r="A68" s="162" t="s">
        <v>307</v>
      </c>
      <c r="B68" s="173" t="s">
        <v>308</v>
      </c>
      <c r="C68" s="169" t="s">
        <v>198</v>
      </c>
      <c r="D68" s="178">
        <v>0.55300000000000005</v>
      </c>
    </row>
    <row r="69" spans="1:4" x14ac:dyDescent="0.3">
      <c r="A69" s="162" t="s">
        <v>309</v>
      </c>
      <c r="B69" s="173" t="s">
        <v>310</v>
      </c>
      <c r="C69" s="169" t="s">
        <v>311</v>
      </c>
      <c r="D69" s="178">
        <v>4.415</v>
      </c>
    </row>
    <row r="70" spans="1:4" x14ac:dyDescent="0.3">
      <c r="A70" s="162" t="s">
        <v>312</v>
      </c>
      <c r="B70" s="173" t="s">
        <v>313</v>
      </c>
      <c r="C70" s="169" t="s">
        <v>198</v>
      </c>
      <c r="D70" s="178">
        <v>6.3120000000000003</v>
      </c>
    </row>
    <row r="71" spans="1:4" x14ac:dyDescent="0.3">
      <c r="A71" s="162" t="s">
        <v>314</v>
      </c>
      <c r="B71" s="173" t="s">
        <v>315</v>
      </c>
      <c r="C71" s="169" t="s">
        <v>284</v>
      </c>
      <c r="D71" s="178">
        <v>2.5270000000000001</v>
      </c>
    </row>
    <row r="72" spans="1:4" x14ac:dyDescent="0.3">
      <c r="A72" s="162" t="s">
        <v>316</v>
      </c>
      <c r="B72" s="173" t="s">
        <v>317</v>
      </c>
      <c r="C72" s="169" t="s">
        <v>318</v>
      </c>
      <c r="D72" s="178">
        <v>7.6999999999999999E-2</v>
      </c>
    </row>
    <row r="73" spans="1:4" x14ac:dyDescent="0.3">
      <c r="A73" s="162" t="s">
        <v>321</v>
      </c>
      <c r="B73" s="173" t="s">
        <v>322</v>
      </c>
      <c r="C73" s="169" t="s">
        <v>199</v>
      </c>
      <c r="D73" s="178">
        <v>182.024</v>
      </c>
    </row>
    <row r="74" spans="1:4" x14ac:dyDescent="0.3">
      <c r="A74" s="162" t="s">
        <v>323</v>
      </c>
      <c r="B74" s="173" t="s">
        <v>324</v>
      </c>
      <c r="C74" s="169" t="s">
        <v>325</v>
      </c>
      <c r="D74" s="178">
        <v>57.223999999999997</v>
      </c>
    </row>
    <row r="75" spans="1:4" x14ac:dyDescent="0.3">
      <c r="A75" s="162" t="s">
        <v>326</v>
      </c>
      <c r="B75" s="173" t="s">
        <v>327</v>
      </c>
      <c r="C75" s="169" t="s">
        <v>311</v>
      </c>
      <c r="D75" s="178">
        <v>4087.6680000000001</v>
      </c>
    </row>
    <row r="76" spans="1:4" x14ac:dyDescent="0.3">
      <c r="A76" s="162" t="s">
        <v>328</v>
      </c>
      <c r="B76" s="173" t="s">
        <v>329</v>
      </c>
      <c r="C76" s="169" t="s">
        <v>198</v>
      </c>
      <c r="D76" s="178">
        <v>3.782</v>
      </c>
    </row>
    <row r="77" spans="1:4" x14ac:dyDescent="0.3">
      <c r="A77" s="164" t="s">
        <v>330</v>
      </c>
      <c r="B77" s="173" t="s">
        <v>331</v>
      </c>
      <c r="C77" s="171" t="s">
        <v>199</v>
      </c>
      <c r="D77" s="178">
        <v>49.439</v>
      </c>
    </row>
    <row r="78" spans="1:4" x14ac:dyDescent="0.3">
      <c r="A78" s="162" t="s">
        <v>2095</v>
      </c>
      <c r="B78" s="173" t="s">
        <v>2096</v>
      </c>
      <c r="C78" s="169" t="s">
        <v>198</v>
      </c>
      <c r="D78" s="178">
        <v>16.177</v>
      </c>
    </row>
    <row r="79" spans="1:4" x14ac:dyDescent="0.3">
      <c r="A79" s="162" t="s">
        <v>332</v>
      </c>
      <c r="B79" s="173" t="s">
        <v>333</v>
      </c>
      <c r="C79" s="169" t="s">
        <v>311</v>
      </c>
      <c r="D79" s="178">
        <v>27.215</v>
      </c>
    </row>
    <row r="80" spans="1:4" x14ac:dyDescent="0.3">
      <c r="A80" s="162" t="s">
        <v>334</v>
      </c>
      <c r="B80" s="173" t="s">
        <v>335</v>
      </c>
      <c r="C80" s="169" t="s">
        <v>198</v>
      </c>
      <c r="D80" s="178">
        <v>18.033999999999999</v>
      </c>
    </row>
    <row r="81" spans="1:4" x14ac:dyDescent="0.3">
      <c r="A81" s="163" t="s">
        <v>336</v>
      </c>
      <c r="B81" s="173" t="s">
        <v>337</v>
      </c>
      <c r="C81" s="173" t="s">
        <v>198</v>
      </c>
      <c r="D81" s="178">
        <v>168.863</v>
      </c>
    </row>
    <row r="82" spans="1:4" x14ac:dyDescent="0.3">
      <c r="A82" s="162" t="s">
        <v>338</v>
      </c>
      <c r="B82" s="173" t="s">
        <v>339</v>
      </c>
      <c r="C82" s="169" t="s">
        <v>340</v>
      </c>
      <c r="D82" s="178">
        <v>12.861000000000001</v>
      </c>
    </row>
    <row r="83" spans="1:4" x14ac:dyDescent="0.3">
      <c r="A83" s="162" t="s">
        <v>341</v>
      </c>
      <c r="B83" s="173" t="s">
        <v>342</v>
      </c>
      <c r="C83" s="169" t="s">
        <v>340</v>
      </c>
      <c r="D83" s="178">
        <v>16.483000000000001</v>
      </c>
    </row>
    <row r="84" spans="1:4" x14ac:dyDescent="0.3">
      <c r="A84" s="163" t="s">
        <v>343</v>
      </c>
      <c r="B84" s="173" t="s">
        <v>344</v>
      </c>
      <c r="C84" s="173" t="s">
        <v>199</v>
      </c>
      <c r="D84" s="178">
        <v>39.874000000000002</v>
      </c>
    </row>
    <row r="85" spans="1:4" x14ac:dyDescent="0.3">
      <c r="A85" s="162" t="s">
        <v>348</v>
      </c>
      <c r="B85" s="173" t="s">
        <v>349</v>
      </c>
      <c r="C85" s="169" t="s">
        <v>198</v>
      </c>
      <c r="D85" s="178">
        <v>0.28699999999999998</v>
      </c>
    </row>
    <row r="86" spans="1:4" x14ac:dyDescent="0.3">
      <c r="A86" s="162" t="s">
        <v>350</v>
      </c>
      <c r="B86" s="173" t="s">
        <v>351</v>
      </c>
      <c r="C86" s="169" t="s">
        <v>198</v>
      </c>
      <c r="D86" s="178">
        <v>401.49799999999999</v>
      </c>
    </row>
    <row r="87" spans="1:4" x14ac:dyDescent="0.3">
      <c r="A87" s="162" t="s">
        <v>352</v>
      </c>
      <c r="B87" s="173" t="s">
        <v>353</v>
      </c>
      <c r="C87" s="169" t="s">
        <v>354</v>
      </c>
      <c r="D87" s="178">
        <v>6.2069999999999999</v>
      </c>
    </row>
    <row r="88" spans="1:4" x14ac:dyDescent="0.3">
      <c r="A88" s="165" t="s">
        <v>355</v>
      </c>
      <c r="B88" s="173" t="s">
        <v>356</v>
      </c>
      <c r="C88" s="169" t="s">
        <v>357</v>
      </c>
      <c r="D88" s="178">
        <v>8.52</v>
      </c>
    </row>
    <row r="89" spans="1:4" x14ac:dyDescent="0.3">
      <c r="A89" s="162" t="s">
        <v>358</v>
      </c>
      <c r="B89" s="173" t="s">
        <v>359</v>
      </c>
      <c r="C89" s="169" t="s">
        <v>360</v>
      </c>
      <c r="D89" s="178">
        <v>12.172000000000001</v>
      </c>
    </row>
    <row r="90" spans="1:4" x14ac:dyDescent="0.3">
      <c r="A90" s="162" t="s">
        <v>361</v>
      </c>
      <c r="B90" s="173" t="s">
        <v>362</v>
      </c>
      <c r="C90" s="171" t="s">
        <v>354</v>
      </c>
      <c r="D90" s="178">
        <v>5.0579999999999998</v>
      </c>
    </row>
    <row r="91" spans="1:4" x14ac:dyDescent="0.3">
      <c r="A91" s="162" t="s">
        <v>363</v>
      </c>
      <c r="B91" s="173" t="s">
        <v>364</v>
      </c>
      <c r="C91" s="169" t="s">
        <v>273</v>
      </c>
      <c r="D91" s="178">
        <v>4.0789999999999997</v>
      </c>
    </row>
    <row r="92" spans="1:4" x14ac:dyDescent="0.3">
      <c r="A92" s="162" t="s">
        <v>365</v>
      </c>
      <c r="B92" s="173" t="s">
        <v>366</v>
      </c>
      <c r="C92" s="169" t="s">
        <v>198</v>
      </c>
      <c r="D92" s="178">
        <v>2.04</v>
      </c>
    </row>
    <row r="93" spans="1:4" x14ac:dyDescent="0.3">
      <c r="A93" s="162" t="s">
        <v>367</v>
      </c>
      <c r="B93" s="173" t="s">
        <v>368</v>
      </c>
      <c r="C93" s="169" t="s">
        <v>198</v>
      </c>
      <c r="D93" s="178">
        <v>2.9689999999999999</v>
      </c>
    </row>
    <row r="94" spans="1:4" x14ac:dyDescent="0.3">
      <c r="A94" s="162" t="s">
        <v>369</v>
      </c>
      <c r="B94" s="173" t="s">
        <v>370</v>
      </c>
      <c r="C94" s="169" t="s">
        <v>371</v>
      </c>
      <c r="D94" s="178">
        <v>31.597000000000001</v>
      </c>
    </row>
    <row r="95" spans="1:4" x14ac:dyDescent="0.3">
      <c r="A95" s="162" t="s">
        <v>372</v>
      </c>
      <c r="B95" s="173" t="s">
        <v>373</v>
      </c>
      <c r="C95" s="169" t="s">
        <v>371</v>
      </c>
      <c r="D95" s="178">
        <v>60.773000000000003</v>
      </c>
    </row>
    <row r="96" spans="1:4" x14ac:dyDescent="0.3">
      <c r="A96" s="162" t="s">
        <v>374</v>
      </c>
      <c r="B96" s="173" t="s">
        <v>375</v>
      </c>
      <c r="C96" s="171" t="s">
        <v>371</v>
      </c>
      <c r="D96" s="178">
        <v>60.673999999999999</v>
      </c>
    </row>
    <row r="97" spans="1:4" x14ac:dyDescent="0.3">
      <c r="A97" s="162" t="s">
        <v>376</v>
      </c>
      <c r="B97" s="173" t="s">
        <v>377</v>
      </c>
      <c r="C97" s="169" t="s">
        <v>378</v>
      </c>
      <c r="D97" s="178">
        <v>5708.5940000000001</v>
      </c>
    </row>
    <row r="98" spans="1:4" x14ac:dyDescent="0.3">
      <c r="A98" s="162" t="s">
        <v>379</v>
      </c>
      <c r="B98" s="173" t="s">
        <v>380</v>
      </c>
      <c r="C98" s="169" t="s">
        <v>381</v>
      </c>
      <c r="D98" s="178">
        <v>3.956</v>
      </c>
    </row>
    <row r="99" spans="1:4" x14ac:dyDescent="0.3">
      <c r="A99" s="162" t="s">
        <v>382</v>
      </c>
      <c r="B99" s="173" t="s">
        <v>383</v>
      </c>
      <c r="C99" s="169" t="s">
        <v>384</v>
      </c>
      <c r="D99" s="178">
        <v>2231.3870000000002</v>
      </c>
    </row>
    <row r="100" spans="1:4" x14ac:dyDescent="0.3">
      <c r="A100" s="162" t="s">
        <v>385</v>
      </c>
      <c r="B100" s="173" t="s">
        <v>386</v>
      </c>
      <c r="C100" s="169" t="s">
        <v>387</v>
      </c>
      <c r="D100" s="178">
        <v>0.68200000000000005</v>
      </c>
    </row>
    <row r="101" spans="1:4" x14ac:dyDescent="0.3">
      <c r="A101" s="162" t="s">
        <v>388</v>
      </c>
      <c r="B101" s="173" t="s">
        <v>389</v>
      </c>
      <c r="C101" s="169" t="s">
        <v>200</v>
      </c>
      <c r="D101" s="178">
        <v>5.4809999999999999</v>
      </c>
    </row>
    <row r="102" spans="1:4" x14ac:dyDescent="0.3">
      <c r="A102" s="162" t="s">
        <v>390</v>
      </c>
      <c r="B102" s="173" t="s">
        <v>391</v>
      </c>
      <c r="C102" s="169" t="s">
        <v>198</v>
      </c>
      <c r="D102" s="178">
        <v>118.60899999999999</v>
      </c>
    </row>
    <row r="103" spans="1:4" x14ac:dyDescent="0.3">
      <c r="A103" s="162" t="s">
        <v>392</v>
      </c>
      <c r="B103" s="173" t="s">
        <v>393</v>
      </c>
      <c r="C103" s="169" t="s">
        <v>209</v>
      </c>
      <c r="D103" s="178">
        <v>4.3730000000000002</v>
      </c>
    </row>
    <row r="104" spans="1:4" x14ac:dyDescent="0.3">
      <c r="A104" s="162" t="s">
        <v>394</v>
      </c>
      <c r="B104" s="173" t="s">
        <v>1560</v>
      </c>
      <c r="C104" s="169" t="s">
        <v>396</v>
      </c>
      <c r="D104" s="178">
        <v>9.2999999999999999E-2</v>
      </c>
    </row>
    <row r="105" spans="1:4" x14ac:dyDescent="0.3">
      <c r="A105" s="162" t="s">
        <v>1561</v>
      </c>
      <c r="B105" s="173" t="s">
        <v>1562</v>
      </c>
      <c r="C105" s="169" t="s">
        <v>396</v>
      </c>
      <c r="D105" s="178">
        <v>1.458</v>
      </c>
    </row>
    <row r="106" spans="1:4" x14ac:dyDescent="0.3">
      <c r="A106" s="162" t="s">
        <v>397</v>
      </c>
      <c r="B106" s="173" t="s">
        <v>398</v>
      </c>
      <c r="C106" s="169" t="s">
        <v>381</v>
      </c>
      <c r="D106" s="178">
        <v>3.1429999999999998</v>
      </c>
    </row>
    <row r="107" spans="1:4" x14ac:dyDescent="0.3">
      <c r="A107" s="162" t="s">
        <v>399</v>
      </c>
      <c r="B107" s="173" t="s">
        <v>400</v>
      </c>
      <c r="C107" s="169" t="s">
        <v>284</v>
      </c>
      <c r="D107" s="178">
        <v>0.755</v>
      </c>
    </row>
    <row r="108" spans="1:4" x14ac:dyDescent="0.3">
      <c r="A108" s="162" t="s">
        <v>1619</v>
      </c>
      <c r="B108" s="173" t="s">
        <v>1620</v>
      </c>
      <c r="C108" s="169" t="s">
        <v>198</v>
      </c>
      <c r="D108" s="178">
        <v>0.72399999999999998</v>
      </c>
    </row>
    <row r="109" spans="1:4" x14ac:dyDescent="0.3">
      <c r="A109" s="162" t="s">
        <v>401</v>
      </c>
      <c r="B109" s="173" t="s">
        <v>402</v>
      </c>
      <c r="C109" s="169" t="s">
        <v>284</v>
      </c>
      <c r="D109" s="178">
        <v>1.776</v>
      </c>
    </row>
    <row r="110" spans="1:4" x14ac:dyDescent="0.3">
      <c r="A110" s="162" t="s">
        <v>403</v>
      </c>
      <c r="B110" s="173" t="s">
        <v>404</v>
      </c>
      <c r="C110" s="169" t="s">
        <v>405</v>
      </c>
      <c r="D110" s="178">
        <v>4.633</v>
      </c>
    </row>
    <row r="111" spans="1:4" x14ac:dyDescent="0.3">
      <c r="A111" s="163" t="s">
        <v>406</v>
      </c>
      <c r="B111" s="173" t="s">
        <v>407</v>
      </c>
      <c r="C111" s="173" t="s">
        <v>408</v>
      </c>
      <c r="D111" s="178">
        <v>6.3949999999999996</v>
      </c>
    </row>
    <row r="112" spans="1:4" x14ac:dyDescent="0.3">
      <c r="A112" s="162" t="s">
        <v>409</v>
      </c>
      <c r="B112" s="173" t="s">
        <v>410</v>
      </c>
      <c r="C112" s="169" t="s">
        <v>295</v>
      </c>
      <c r="D112" s="178">
        <v>0.51</v>
      </c>
    </row>
    <row r="113" spans="1:4" x14ac:dyDescent="0.3">
      <c r="A113" s="162" t="s">
        <v>411</v>
      </c>
      <c r="B113" s="173" t="s">
        <v>412</v>
      </c>
      <c r="C113" s="169" t="s">
        <v>413</v>
      </c>
      <c r="D113" s="178">
        <v>2.0379999999999998</v>
      </c>
    </row>
    <row r="114" spans="1:4" x14ac:dyDescent="0.3">
      <c r="A114" s="162" t="s">
        <v>416</v>
      </c>
      <c r="B114" s="173" t="s">
        <v>417</v>
      </c>
      <c r="C114" s="169" t="s">
        <v>418</v>
      </c>
      <c r="D114" s="178">
        <v>6.5540000000000003</v>
      </c>
    </row>
    <row r="115" spans="1:4" x14ac:dyDescent="0.3">
      <c r="A115" s="162" t="s">
        <v>419</v>
      </c>
      <c r="B115" s="173" t="s">
        <v>420</v>
      </c>
      <c r="C115" s="169" t="s">
        <v>199</v>
      </c>
      <c r="D115" s="178">
        <v>3.7250000000000001</v>
      </c>
    </row>
    <row r="116" spans="1:4" x14ac:dyDescent="0.3">
      <c r="A116" s="162" t="s">
        <v>421</v>
      </c>
      <c r="B116" s="173" t="s">
        <v>422</v>
      </c>
      <c r="C116" s="169" t="s">
        <v>284</v>
      </c>
      <c r="D116" s="178">
        <v>2.0920000000000001</v>
      </c>
    </row>
    <row r="117" spans="1:4" x14ac:dyDescent="0.3">
      <c r="A117" s="162" t="s">
        <v>423</v>
      </c>
      <c r="B117" s="173" t="s">
        <v>424</v>
      </c>
      <c r="C117" s="169" t="s">
        <v>425</v>
      </c>
      <c r="D117" s="178">
        <v>91.786000000000001</v>
      </c>
    </row>
    <row r="118" spans="1:4" x14ac:dyDescent="0.3">
      <c r="A118" s="165" t="s">
        <v>426</v>
      </c>
      <c r="B118" s="173" t="s">
        <v>427</v>
      </c>
      <c r="C118" s="169" t="s">
        <v>198</v>
      </c>
      <c r="D118" s="178">
        <v>5.5810000000000004</v>
      </c>
    </row>
    <row r="119" spans="1:4" x14ac:dyDescent="0.3">
      <c r="A119" s="162" t="s">
        <v>428</v>
      </c>
      <c r="B119" s="173" t="s">
        <v>429</v>
      </c>
      <c r="C119" s="169" t="s">
        <v>405</v>
      </c>
      <c r="D119" s="178">
        <v>35.085530660000003</v>
      </c>
    </row>
    <row r="120" spans="1:4" x14ac:dyDescent="0.3">
      <c r="A120" s="162" t="s">
        <v>430</v>
      </c>
      <c r="B120" s="173" t="s">
        <v>431</v>
      </c>
      <c r="C120" s="169" t="s">
        <v>432</v>
      </c>
      <c r="D120" s="178">
        <v>24.529</v>
      </c>
    </row>
    <row r="121" spans="1:4" x14ac:dyDescent="0.3">
      <c r="A121" s="162" t="s">
        <v>433</v>
      </c>
      <c r="B121" s="173" t="s">
        <v>434</v>
      </c>
      <c r="C121" s="169" t="s">
        <v>198</v>
      </c>
      <c r="D121" s="178">
        <v>26.303999999999998</v>
      </c>
    </row>
    <row r="122" spans="1:4" x14ac:dyDescent="0.3">
      <c r="A122" s="162" t="s">
        <v>435</v>
      </c>
      <c r="B122" s="173" t="s">
        <v>436</v>
      </c>
      <c r="C122" s="169" t="s">
        <v>437</v>
      </c>
      <c r="D122" s="178">
        <v>583.01099999999997</v>
      </c>
    </row>
    <row r="123" spans="1:4" x14ac:dyDescent="0.3">
      <c r="A123" s="162" t="s">
        <v>2013</v>
      </c>
      <c r="B123" s="173" t="s">
        <v>2014</v>
      </c>
      <c r="C123" s="169" t="s">
        <v>2015</v>
      </c>
      <c r="D123" s="178">
        <v>21.053000000000001</v>
      </c>
    </row>
    <row r="124" spans="1:4" x14ac:dyDescent="0.3">
      <c r="A124" s="162" t="s">
        <v>1943</v>
      </c>
      <c r="B124" s="173" t="s">
        <v>1944</v>
      </c>
      <c r="C124" s="169" t="s">
        <v>1945</v>
      </c>
      <c r="D124" s="178">
        <v>2.38</v>
      </c>
    </row>
    <row r="125" spans="1:4" x14ac:dyDescent="0.3">
      <c r="A125" s="162" t="s">
        <v>438</v>
      </c>
      <c r="B125" s="173" t="s">
        <v>439</v>
      </c>
      <c r="C125" s="169" t="s">
        <v>295</v>
      </c>
      <c r="D125" s="178">
        <v>8.2810000000000006</v>
      </c>
    </row>
    <row r="126" spans="1:4" x14ac:dyDescent="0.3">
      <c r="A126" s="162" t="s">
        <v>440</v>
      </c>
      <c r="B126" s="173" t="s">
        <v>441</v>
      </c>
      <c r="C126" s="169" t="s">
        <v>442</v>
      </c>
      <c r="D126" s="178">
        <v>1.103</v>
      </c>
    </row>
    <row r="127" spans="1:4" x14ac:dyDescent="0.3">
      <c r="A127" s="162" t="s">
        <v>443</v>
      </c>
      <c r="B127" s="173" t="s">
        <v>444</v>
      </c>
      <c r="C127" s="169" t="s">
        <v>445</v>
      </c>
      <c r="D127" s="178">
        <v>15.167</v>
      </c>
    </row>
    <row r="128" spans="1:4" x14ac:dyDescent="0.3">
      <c r="A128" s="162" t="s">
        <v>446</v>
      </c>
      <c r="B128" s="173" t="s">
        <v>447</v>
      </c>
      <c r="C128" s="169" t="s">
        <v>318</v>
      </c>
      <c r="D128" s="178">
        <v>58.871000000000002</v>
      </c>
    </row>
    <row r="129" spans="1:4" x14ac:dyDescent="0.3">
      <c r="A129" s="162" t="s">
        <v>448</v>
      </c>
      <c r="B129" s="173" t="s">
        <v>449</v>
      </c>
      <c r="C129" s="169" t="s">
        <v>199</v>
      </c>
      <c r="D129" s="178">
        <v>3.9950000000000001</v>
      </c>
    </row>
    <row r="130" spans="1:4" x14ac:dyDescent="0.3">
      <c r="A130" s="162" t="s">
        <v>1621</v>
      </c>
      <c r="B130" s="173" t="s">
        <v>1622</v>
      </c>
      <c r="C130" s="169" t="s">
        <v>200</v>
      </c>
      <c r="D130" s="178">
        <v>125.057</v>
      </c>
    </row>
    <row r="131" spans="1:4" x14ac:dyDescent="0.3">
      <c r="A131" s="162" t="s">
        <v>453</v>
      </c>
      <c r="B131" s="173" t="s">
        <v>454</v>
      </c>
      <c r="C131" s="169" t="s">
        <v>455</v>
      </c>
      <c r="D131" s="178">
        <v>3879.7449999999999</v>
      </c>
    </row>
    <row r="132" spans="1:4" x14ac:dyDescent="0.3">
      <c r="A132" s="162" t="s">
        <v>456</v>
      </c>
      <c r="B132" s="173" t="s">
        <v>457</v>
      </c>
      <c r="C132" s="169" t="s">
        <v>458</v>
      </c>
      <c r="D132" s="178">
        <v>26.952999999999999</v>
      </c>
    </row>
    <row r="133" spans="1:4" x14ac:dyDescent="0.3">
      <c r="A133" s="164" t="s">
        <v>459</v>
      </c>
      <c r="B133" s="173" t="s">
        <v>460</v>
      </c>
      <c r="C133" s="169" t="s">
        <v>461</v>
      </c>
      <c r="D133" s="178">
        <v>2605.3879999999999</v>
      </c>
    </row>
    <row r="134" spans="1:4" x14ac:dyDescent="0.3">
      <c r="A134" s="162" t="s">
        <v>1563</v>
      </c>
      <c r="B134" s="173" t="s">
        <v>1564</v>
      </c>
      <c r="C134" s="169" t="s">
        <v>781</v>
      </c>
      <c r="D134" s="178">
        <v>1072.212</v>
      </c>
    </row>
    <row r="135" spans="1:4" x14ac:dyDescent="0.3">
      <c r="A135" s="162" t="s">
        <v>462</v>
      </c>
      <c r="B135" s="173" t="s">
        <v>463</v>
      </c>
      <c r="C135" s="169" t="s">
        <v>464</v>
      </c>
      <c r="D135" s="178">
        <v>1654.6569999999999</v>
      </c>
    </row>
    <row r="136" spans="1:4" x14ac:dyDescent="0.3">
      <c r="A136" s="163" t="s">
        <v>465</v>
      </c>
      <c r="B136" s="173" t="s">
        <v>466</v>
      </c>
      <c r="C136" s="173" t="s">
        <v>200</v>
      </c>
      <c r="D136" s="178">
        <v>14.912000000000001</v>
      </c>
    </row>
    <row r="137" spans="1:4" x14ac:dyDescent="0.3">
      <c r="A137" s="162" t="s">
        <v>467</v>
      </c>
      <c r="B137" s="173" t="s">
        <v>468</v>
      </c>
      <c r="C137" s="169" t="s">
        <v>198</v>
      </c>
      <c r="D137" s="178">
        <v>4.7E-2</v>
      </c>
    </row>
    <row r="138" spans="1:4" x14ac:dyDescent="0.3">
      <c r="A138" s="162" t="s">
        <v>469</v>
      </c>
      <c r="B138" s="173" t="s">
        <v>470</v>
      </c>
      <c r="C138" s="169" t="s">
        <v>452</v>
      </c>
      <c r="D138" s="178">
        <v>3.3149999999999999</v>
      </c>
    </row>
    <row r="139" spans="1:4" x14ac:dyDescent="0.3">
      <c r="A139" s="162" t="s">
        <v>471</v>
      </c>
      <c r="B139" s="173" t="s">
        <v>472</v>
      </c>
      <c r="C139" s="169" t="s">
        <v>452</v>
      </c>
      <c r="D139" s="178">
        <v>3.3149999999999999</v>
      </c>
    </row>
    <row r="140" spans="1:4" x14ac:dyDescent="0.3">
      <c r="A140" s="162" t="s">
        <v>473</v>
      </c>
      <c r="B140" s="173" t="s">
        <v>474</v>
      </c>
      <c r="C140" s="169" t="s">
        <v>432</v>
      </c>
      <c r="D140" s="178">
        <v>8.2159999999999993</v>
      </c>
    </row>
    <row r="141" spans="1:4" x14ac:dyDescent="0.3">
      <c r="A141" s="162" t="s">
        <v>475</v>
      </c>
      <c r="B141" s="173" t="s">
        <v>476</v>
      </c>
      <c r="C141" s="172" t="s">
        <v>452</v>
      </c>
      <c r="D141" s="178">
        <v>1.621</v>
      </c>
    </row>
    <row r="142" spans="1:4" x14ac:dyDescent="0.3">
      <c r="A142" s="162" t="s">
        <v>477</v>
      </c>
      <c r="B142" s="173" t="s">
        <v>478</v>
      </c>
      <c r="C142" s="172" t="s">
        <v>452</v>
      </c>
      <c r="D142" s="178">
        <v>1.621</v>
      </c>
    </row>
    <row r="143" spans="1:4" x14ac:dyDescent="0.3">
      <c r="A143" s="162" t="s">
        <v>479</v>
      </c>
      <c r="B143" s="173" t="s">
        <v>480</v>
      </c>
      <c r="C143" s="169" t="s">
        <v>198</v>
      </c>
      <c r="D143" s="178">
        <v>1.585</v>
      </c>
    </row>
    <row r="144" spans="1:4" x14ac:dyDescent="0.3">
      <c r="A144" s="162" t="s">
        <v>481</v>
      </c>
      <c r="B144" s="173" t="s">
        <v>482</v>
      </c>
      <c r="C144" s="169" t="s">
        <v>284</v>
      </c>
      <c r="D144" s="178">
        <v>10.416</v>
      </c>
    </row>
    <row r="145" spans="1:4" x14ac:dyDescent="0.3">
      <c r="A145" s="162" t="s">
        <v>1946</v>
      </c>
      <c r="B145" s="173" t="s">
        <v>1947</v>
      </c>
      <c r="C145" s="169" t="s">
        <v>458</v>
      </c>
      <c r="D145" s="178">
        <v>37.941000000000003</v>
      </c>
    </row>
    <row r="146" spans="1:4" x14ac:dyDescent="0.3">
      <c r="A146" s="162" t="s">
        <v>483</v>
      </c>
      <c r="B146" s="173" t="s">
        <v>484</v>
      </c>
      <c r="C146" s="169" t="s">
        <v>198</v>
      </c>
      <c r="D146" s="178">
        <v>22.254999999999999</v>
      </c>
    </row>
    <row r="147" spans="1:4" x14ac:dyDescent="0.3">
      <c r="A147" s="162" t="s">
        <v>485</v>
      </c>
      <c r="B147" s="173" t="s">
        <v>486</v>
      </c>
      <c r="C147" s="169" t="s">
        <v>200</v>
      </c>
      <c r="D147" s="178">
        <v>26.093</v>
      </c>
    </row>
    <row r="148" spans="1:4" x14ac:dyDescent="0.3">
      <c r="A148" s="162" t="s">
        <v>487</v>
      </c>
      <c r="B148" s="173" t="s">
        <v>488</v>
      </c>
      <c r="C148" s="169" t="s">
        <v>311</v>
      </c>
      <c r="D148" s="178">
        <v>4.6109999999999998</v>
      </c>
    </row>
    <row r="149" spans="1:4" x14ac:dyDescent="0.3">
      <c r="A149" s="162" t="s">
        <v>489</v>
      </c>
      <c r="B149" s="173" t="s">
        <v>490</v>
      </c>
      <c r="C149" s="169" t="s">
        <v>491</v>
      </c>
      <c r="D149" s="178">
        <v>6.9260000000000002</v>
      </c>
    </row>
    <row r="150" spans="1:4" x14ac:dyDescent="0.3">
      <c r="A150" s="162" t="s">
        <v>492</v>
      </c>
      <c r="B150" s="173" t="s">
        <v>493</v>
      </c>
      <c r="C150" s="169" t="s">
        <v>494</v>
      </c>
      <c r="D150" s="178">
        <v>10.443</v>
      </c>
    </row>
    <row r="151" spans="1:4" x14ac:dyDescent="0.3">
      <c r="A151" s="162" t="s">
        <v>495</v>
      </c>
      <c r="B151" s="173" t="s">
        <v>496</v>
      </c>
      <c r="C151" s="169" t="s">
        <v>198</v>
      </c>
      <c r="D151" s="178">
        <v>0.57099999999999995</v>
      </c>
    </row>
    <row r="152" spans="1:4" x14ac:dyDescent="0.3">
      <c r="A152" s="162" t="s">
        <v>497</v>
      </c>
      <c r="B152" s="173" t="s">
        <v>498</v>
      </c>
      <c r="C152" s="169" t="s">
        <v>198</v>
      </c>
      <c r="D152" s="178">
        <v>2.9000000000000001E-2</v>
      </c>
    </row>
    <row r="153" spans="1:4" x14ac:dyDescent="0.3">
      <c r="A153" s="162" t="s">
        <v>499</v>
      </c>
      <c r="B153" s="173" t="s">
        <v>500</v>
      </c>
      <c r="C153" s="169" t="s">
        <v>198</v>
      </c>
      <c r="D153" s="178">
        <v>0.13100000000000001</v>
      </c>
    </row>
    <row r="154" spans="1:4" x14ac:dyDescent="0.3">
      <c r="A154" s="162" t="s">
        <v>501</v>
      </c>
      <c r="B154" s="173" t="s">
        <v>502</v>
      </c>
      <c r="C154" s="169" t="s">
        <v>198</v>
      </c>
      <c r="D154" s="178">
        <v>58.235999999999997</v>
      </c>
    </row>
    <row r="155" spans="1:4" x14ac:dyDescent="0.3">
      <c r="A155" s="162" t="s">
        <v>503</v>
      </c>
      <c r="B155" s="173" t="s">
        <v>504</v>
      </c>
      <c r="C155" s="169" t="s">
        <v>284</v>
      </c>
      <c r="D155" s="178">
        <v>21.568000000000001</v>
      </c>
    </row>
    <row r="156" spans="1:4" x14ac:dyDescent="0.3">
      <c r="A156" s="162" t="s">
        <v>505</v>
      </c>
      <c r="B156" s="173" t="s">
        <v>506</v>
      </c>
      <c r="C156" s="169" t="s">
        <v>396</v>
      </c>
      <c r="D156" s="178">
        <v>10.301</v>
      </c>
    </row>
    <row r="157" spans="1:4" x14ac:dyDescent="0.3">
      <c r="A157" s="162" t="s">
        <v>507</v>
      </c>
      <c r="B157" s="173" t="s">
        <v>508</v>
      </c>
      <c r="C157" s="169" t="s">
        <v>464</v>
      </c>
      <c r="D157" s="178">
        <v>4293.3599999999997</v>
      </c>
    </row>
    <row r="158" spans="1:4" x14ac:dyDescent="0.3">
      <c r="A158" s="162" t="s">
        <v>509</v>
      </c>
      <c r="B158" s="173" t="s">
        <v>510</v>
      </c>
      <c r="C158" s="169" t="s">
        <v>209</v>
      </c>
      <c r="D158" s="178">
        <v>0.441</v>
      </c>
    </row>
    <row r="159" spans="1:4" x14ac:dyDescent="0.3">
      <c r="A159" s="162" t="s">
        <v>511</v>
      </c>
      <c r="B159" s="173" t="s">
        <v>512</v>
      </c>
      <c r="C159" s="169" t="s">
        <v>513</v>
      </c>
      <c r="D159" s="178">
        <v>3.2890000000000001</v>
      </c>
    </row>
    <row r="160" spans="1:4" x14ac:dyDescent="0.3">
      <c r="A160" s="162" t="s">
        <v>514</v>
      </c>
      <c r="B160" s="173" t="s">
        <v>515</v>
      </c>
      <c r="C160" s="169" t="s">
        <v>295</v>
      </c>
      <c r="D160" s="178">
        <v>168.78299999999999</v>
      </c>
    </row>
    <row r="161" spans="1:4" x14ac:dyDescent="0.3">
      <c r="A161" s="162" t="s">
        <v>516</v>
      </c>
      <c r="B161" s="173" t="s">
        <v>517</v>
      </c>
      <c r="C161" s="169" t="s">
        <v>209</v>
      </c>
      <c r="D161" s="178">
        <v>1.51</v>
      </c>
    </row>
    <row r="162" spans="1:4" x14ac:dyDescent="0.3">
      <c r="A162" s="162" t="s">
        <v>2016</v>
      </c>
      <c r="B162" s="173" t="s">
        <v>2017</v>
      </c>
      <c r="C162" s="169" t="s">
        <v>396</v>
      </c>
      <c r="D162" s="178">
        <v>15.087999999999999</v>
      </c>
    </row>
    <row r="163" spans="1:4" x14ac:dyDescent="0.3">
      <c r="A163" s="162" t="s">
        <v>518</v>
      </c>
      <c r="B163" s="173" t="s">
        <v>519</v>
      </c>
      <c r="C163" s="169" t="s">
        <v>284</v>
      </c>
      <c r="D163" s="178">
        <v>30.55</v>
      </c>
    </row>
    <row r="164" spans="1:4" x14ac:dyDescent="0.3">
      <c r="A164" s="162" t="s">
        <v>520</v>
      </c>
      <c r="B164" s="173" t="s">
        <v>521</v>
      </c>
      <c r="C164" s="169" t="s">
        <v>522</v>
      </c>
      <c r="D164" s="178">
        <v>636.41399999999999</v>
      </c>
    </row>
    <row r="165" spans="1:4" x14ac:dyDescent="0.3">
      <c r="A165" s="162" t="s">
        <v>523</v>
      </c>
      <c r="B165" s="173" t="s">
        <v>524</v>
      </c>
      <c r="C165" s="169" t="s">
        <v>199</v>
      </c>
      <c r="D165" s="178">
        <v>16.786999999999999</v>
      </c>
    </row>
    <row r="166" spans="1:4" x14ac:dyDescent="0.3">
      <c r="A166" s="162" t="s">
        <v>525</v>
      </c>
      <c r="B166" s="173" t="s">
        <v>526</v>
      </c>
      <c r="C166" s="169" t="s">
        <v>209</v>
      </c>
      <c r="D166" s="178">
        <v>6.9729999999999999</v>
      </c>
    </row>
    <row r="167" spans="1:4" x14ac:dyDescent="0.3">
      <c r="A167" s="162" t="s">
        <v>527</v>
      </c>
      <c r="B167" s="173" t="s">
        <v>528</v>
      </c>
      <c r="C167" s="169" t="s">
        <v>199</v>
      </c>
      <c r="D167" s="178">
        <v>3.51</v>
      </c>
    </row>
    <row r="168" spans="1:4" x14ac:dyDescent="0.3">
      <c r="A168" s="162" t="s">
        <v>529</v>
      </c>
      <c r="B168" s="173" t="s">
        <v>530</v>
      </c>
      <c r="C168" s="169" t="s">
        <v>295</v>
      </c>
      <c r="D168" s="178">
        <v>6.35</v>
      </c>
    </row>
    <row r="169" spans="1:4" x14ac:dyDescent="0.3">
      <c r="A169" s="162" t="s">
        <v>531</v>
      </c>
      <c r="B169" s="173" t="s">
        <v>532</v>
      </c>
      <c r="C169" s="169" t="s">
        <v>491</v>
      </c>
      <c r="D169" s="178">
        <v>0.49</v>
      </c>
    </row>
    <row r="170" spans="1:4" x14ac:dyDescent="0.3">
      <c r="A170" s="162" t="s">
        <v>533</v>
      </c>
      <c r="B170" s="173" t="s">
        <v>534</v>
      </c>
      <c r="C170" s="169" t="s">
        <v>452</v>
      </c>
      <c r="D170" s="178">
        <v>0.32300000000000001</v>
      </c>
    </row>
    <row r="171" spans="1:4" x14ac:dyDescent="0.3">
      <c r="A171" s="162" t="s">
        <v>535</v>
      </c>
      <c r="B171" s="173" t="s">
        <v>536</v>
      </c>
      <c r="C171" s="169" t="s">
        <v>198</v>
      </c>
      <c r="D171" s="178">
        <v>513.73500000000001</v>
      </c>
    </row>
    <row r="172" spans="1:4" x14ac:dyDescent="0.3">
      <c r="A172" s="162" t="s">
        <v>537</v>
      </c>
      <c r="B172" s="173" t="s">
        <v>538</v>
      </c>
      <c r="C172" s="169" t="s">
        <v>199</v>
      </c>
      <c r="D172" s="178">
        <v>228.01499999999999</v>
      </c>
    </row>
    <row r="173" spans="1:4" x14ac:dyDescent="0.3">
      <c r="A173" s="162" t="s">
        <v>539</v>
      </c>
      <c r="B173" s="173" t="s">
        <v>540</v>
      </c>
      <c r="C173" s="169" t="s">
        <v>198</v>
      </c>
      <c r="D173" s="178">
        <v>20.994</v>
      </c>
    </row>
    <row r="174" spans="1:4" x14ac:dyDescent="0.3">
      <c r="A174" s="162" t="s">
        <v>1565</v>
      </c>
      <c r="B174" s="173" t="s">
        <v>1566</v>
      </c>
      <c r="C174" s="169" t="s">
        <v>199</v>
      </c>
      <c r="D174" s="178">
        <v>224.08699999999999</v>
      </c>
    </row>
    <row r="175" spans="1:4" x14ac:dyDescent="0.3">
      <c r="A175" s="162" t="s">
        <v>541</v>
      </c>
      <c r="B175" s="173" t="s">
        <v>542</v>
      </c>
      <c r="C175" s="169" t="s">
        <v>198</v>
      </c>
      <c r="D175" s="178">
        <v>262.30799999999999</v>
      </c>
    </row>
    <row r="176" spans="1:4" x14ac:dyDescent="0.3">
      <c r="A176" s="162" t="s">
        <v>543</v>
      </c>
      <c r="B176" s="173" t="s">
        <v>544</v>
      </c>
      <c r="C176" s="169" t="s">
        <v>396</v>
      </c>
      <c r="D176" s="178">
        <v>15.768000000000001</v>
      </c>
    </row>
    <row r="177" spans="1:4" x14ac:dyDescent="0.3">
      <c r="A177" s="162" t="s">
        <v>545</v>
      </c>
      <c r="B177" s="173" t="s">
        <v>546</v>
      </c>
      <c r="C177" s="169" t="s">
        <v>284</v>
      </c>
      <c r="D177" s="178">
        <v>17.239999999999998</v>
      </c>
    </row>
    <row r="178" spans="1:4" x14ac:dyDescent="0.3">
      <c r="A178" s="162" t="s">
        <v>547</v>
      </c>
      <c r="B178" s="173" t="s">
        <v>548</v>
      </c>
      <c r="C178" s="169" t="s">
        <v>284</v>
      </c>
      <c r="D178" s="178">
        <v>73.653000000000006</v>
      </c>
    </row>
    <row r="179" spans="1:4" x14ac:dyDescent="0.3">
      <c r="A179" s="162" t="s">
        <v>549</v>
      </c>
      <c r="B179" s="173" t="s">
        <v>550</v>
      </c>
      <c r="C179" s="169" t="s">
        <v>199</v>
      </c>
      <c r="D179" s="178">
        <v>9.8030000000000008</v>
      </c>
    </row>
    <row r="180" spans="1:4" x14ac:dyDescent="0.3">
      <c r="A180" s="162" t="s">
        <v>551</v>
      </c>
      <c r="B180" s="173" t="s">
        <v>552</v>
      </c>
      <c r="C180" s="169" t="s">
        <v>553</v>
      </c>
      <c r="D180" s="178">
        <v>353.67</v>
      </c>
    </row>
    <row r="181" spans="1:4" x14ac:dyDescent="0.3">
      <c r="A181" s="162" t="s">
        <v>554</v>
      </c>
      <c r="B181" s="173" t="s">
        <v>555</v>
      </c>
      <c r="C181" s="169" t="s">
        <v>257</v>
      </c>
      <c r="D181" s="178">
        <v>454.17</v>
      </c>
    </row>
    <row r="182" spans="1:4" x14ac:dyDescent="0.3">
      <c r="A182" s="162" t="s">
        <v>1977</v>
      </c>
      <c r="B182" s="173" t="s">
        <v>1978</v>
      </c>
      <c r="C182" s="169" t="s">
        <v>199</v>
      </c>
      <c r="D182" s="178">
        <v>23.03</v>
      </c>
    </row>
    <row r="183" spans="1:4" x14ac:dyDescent="0.3">
      <c r="A183" s="162" t="s">
        <v>556</v>
      </c>
      <c r="B183" s="173" t="s">
        <v>557</v>
      </c>
      <c r="C183" s="169" t="s">
        <v>198</v>
      </c>
      <c r="D183" s="178">
        <v>1.1080000000000001</v>
      </c>
    </row>
    <row r="184" spans="1:4" x14ac:dyDescent="0.3">
      <c r="A184" s="162" t="s">
        <v>558</v>
      </c>
      <c r="B184" s="173" t="s">
        <v>559</v>
      </c>
      <c r="C184" s="169" t="s">
        <v>452</v>
      </c>
      <c r="D184" s="178">
        <v>0.996</v>
      </c>
    </row>
    <row r="185" spans="1:4" x14ac:dyDescent="0.3">
      <c r="A185" s="162" t="s">
        <v>560</v>
      </c>
      <c r="B185" s="173" t="s">
        <v>561</v>
      </c>
      <c r="C185" s="169" t="s">
        <v>452</v>
      </c>
      <c r="D185" s="178">
        <v>0.41899999999999998</v>
      </c>
    </row>
    <row r="186" spans="1:4" x14ac:dyDescent="0.3">
      <c r="A186" s="162" t="s">
        <v>2018</v>
      </c>
      <c r="B186" s="173" t="s">
        <v>2019</v>
      </c>
      <c r="C186" s="169" t="s">
        <v>198</v>
      </c>
      <c r="D186" s="178">
        <v>4.9400000000000004</v>
      </c>
    </row>
    <row r="187" spans="1:4" x14ac:dyDescent="0.3">
      <c r="A187" s="162" t="s">
        <v>562</v>
      </c>
      <c r="B187" s="173" t="s">
        <v>563</v>
      </c>
      <c r="C187" s="169" t="s">
        <v>442</v>
      </c>
      <c r="D187" s="178">
        <v>2.879</v>
      </c>
    </row>
    <row r="188" spans="1:4" x14ac:dyDescent="0.3">
      <c r="A188" s="162" t="s">
        <v>564</v>
      </c>
      <c r="B188" s="173" t="s">
        <v>565</v>
      </c>
      <c r="C188" s="169" t="s">
        <v>198</v>
      </c>
      <c r="D188" s="178">
        <v>0.183</v>
      </c>
    </row>
    <row r="189" spans="1:4" x14ac:dyDescent="0.3">
      <c r="A189" s="163" t="s">
        <v>566</v>
      </c>
      <c r="B189" s="173" t="s">
        <v>567</v>
      </c>
      <c r="C189" s="173" t="s">
        <v>458</v>
      </c>
      <c r="D189" s="178">
        <v>466.07400000000001</v>
      </c>
    </row>
    <row r="190" spans="1:4" x14ac:dyDescent="0.3">
      <c r="A190" s="162" t="s">
        <v>568</v>
      </c>
      <c r="B190" s="173" t="s">
        <v>569</v>
      </c>
      <c r="C190" s="169" t="s">
        <v>198</v>
      </c>
      <c r="D190" s="178">
        <v>432.43099999999998</v>
      </c>
    </row>
    <row r="191" spans="1:4" x14ac:dyDescent="0.3">
      <c r="A191" s="162" t="s">
        <v>570</v>
      </c>
      <c r="B191" s="173" t="s">
        <v>571</v>
      </c>
      <c r="C191" s="169" t="s">
        <v>284</v>
      </c>
      <c r="D191" s="178">
        <v>46.933</v>
      </c>
    </row>
    <row r="192" spans="1:4" x14ac:dyDescent="0.3">
      <c r="A192" s="162" t="s">
        <v>572</v>
      </c>
      <c r="B192" s="173" t="s">
        <v>573</v>
      </c>
      <c r="C192" s="169" t="s">
        <v>574</v>
      </c>
      <c r="D192" s="178">
        <v>46.164000000000001</v>
      </c>
    </row>
    <row r="193" spans="1:4" x14ac:dyDescent="0.3">
      <c r="A193" s="162" t="s">
        <v>2106</v>
      </c>
      <c r="B193" s="173" t="s">
        <v>2107</v>
      </c>
      <c r="C193" s="169" t="s">
        <v>257</v>
      </c>
      <c r="D193" s="178">
        <v>12.028</v>
      </c>
    </row>
    <row r="194" spans="1:4" x14ac:dyDescent="0.3">
      <c r="A194" s="162" t="s">
        <v>1979</v>
      </c>
      <c r="B194" s="173" t="s">
        <v>1980</v>
      </c>
      <c r="C194" s="169" t="s">
        <v>284</v>
      </c>
      <c r="D194" s="178">
        <v>481.77</v>
      </c>
    </row>
    <row r="195" spans="1:4" x14ac:dyDescent="0.3">
      <c r="A195" s="162" t="s">
        <v>575</v>
      </c>
      <c r="B195" s="173" t="s">
        <v>576</v>
      </c>
      <c r="C195" s="169" t="s">
        <v>257</v>
      </c>
      <c r="D195" s="178">
        <v>14.971</v>
      </c>
    </row>
    <row r="196" spans="1:4" x14ac:dyDescent="0.3">
      <c r="A196" s="163" t="s">
        <v>577</v>
      </c>
      <c r="B196" s="173" t="s">
        <v>578</v>
      </c>
      <c r="C196" s="173" t="s">
        <v>284</v>
      </c>
      <c r="D196" s="178">
        <v>70.489999999999995</v>
      </c>
    </row>
    <row r="197" spans="1:4" x14ac:dyDescent="0.3">
      <c r="A197" s="162" t="s">
        <v>579</v>
      </c>
      <c r="B197" s="173" t="s">
        <v>580</v>
      </c>
      <c r="C197" s="169" t="s">
        <v>284</v>
      </c>
      <c r="D197" s="178">
        <v>48.338000000000001</v>
      </c>
    </row>
    <row r="198" spans="1:4" x14ac:dyDescent="0.3">
      <c r="A198" s="162" t="s">
        <v>1623</v>
      </c>
      <c r="B198" s="173" t="s">
        <v>1624</v>
      </c>
      <c r="C198" s="169" t="s">
        <v>257</v>
      </c>
      <c r="D198" s="178">
        <v>13.569000000000001</v>
      </c>
    </row>
    <row r="199" spans="1:4" x14ac:dyDescent="0.3">
      <c r="A199" s="162" t="s">
        <v>581</v>
      </c>
      <c r="B199" s="173" t="s">
        <v>582</v>
      </c>
      <c r="C199" s="169" t="s">
        <v>257</v>
      </c>
      <c r="D199" s="178">
        <v>12.347</v>
      </c>
    </row>
    <row r="200" spans="1:4" x14ac:dyDescent="0.3">
      <c r="A200" s="162" t="s">
        <v>583</v>
      </c>
      <c r="B200" s="173" t="s">
        <v>584</v>
      </c>
      <c r="C200" s="169" t="s">
        <v>585</v>
      </c>
      <c r="D200" s="178">
        <v>461.63900000000001</v>
      </c>
    </row>
    <row r="201" spans="1:4" x14ac:dyDescent="0.3">
      <c r="A201" s="162" t="s">
        <v>586</v>
      </c>
      <c r="B201" s="173" t="s">
        <v>587</v>
      </c>
      <c r="C201" s="169" t="s">
        <v>284</v>
      </c>
      <c r="D201" s="178">
        <v>43.39</v>
      </c>
    </row>
    <row r="202" spans="1:4" x14ac:dyDescent="0.3">
      <c r="A202" s="162" t="s">
        <v>588</v>
      </c>
      <c r="B202" s="173" t="s">
        <v>589</v>
      </c>
      <c r="C202" s="169" t="s">
        <v>284</v>
      </c>
      <c r="D202" s="178">
        <v>73.174999999999997</v>
      </c>
    </row>
    <row r="203" spans="1:4" x14ac:dyDescent="0.3">
      <c r="A203" s="162" t="s">
        <v>590</v>
      </c>
      <c r="B203" s="173" t="s">
        <v>591</v>
      </c>
      <c r="C203" s="169" t="s">
        <v>284</v>
      </c>
      <c r="D203" s="178">
        <v>42.018999999999998</v>
      </c>
    </row>
    <row r="204" spans="1:4" x14ac:dyDescent="0.3">
      <c r="A204" s="162" t="s">
        <v>592</v>
      </c>
      <c r="B204" s="173" t="s">
        <v>593</v>
      </c>
      <c r="C204" s="169" t="s">
        <v>284</v>
      </c>
      <c r="D204" s="178">
        <v>44.997</v>
      </c>
    </row>
    <row r="205" spans="1:4" x14ac:dyDescent="0.3">
      <c r="A205" s="162" t="s">
        <v>594</v>
      </c>
      <c r="B205" s="173" t="s">
        <v>595</v>
      </c>
      <c r="C205" s="169" t="s">
        <v>284</v>
      </c>
      <c r="D205" s="178">
        <v>47.154000000000003</v>
      </c>
    </row>
    <row r="206" spans="1:4" x14ac:dyDescent="0.3">
      <c r="A206" s="162" t="s">
        <v>596</v>
      </c>
      <c r="B206" s="173" t="s">
        <v>597</v>
      </c>
      <c r="C206" s="169" t="s">
        <v>216</v>
      </c>
      <c r="D206" s="178">
        <v>75.141000000000005</v>
      </c>
    </row>
    <row r="207" spans="1:4" x14ac:dyDescent="0.3">
      <c r="A207" s="162" t="s">
        <v>598</v>
      </c>
      <c r="B207" s="173" t="s">
        <v>599</v>
      </c>
      <c r="C207" s="169" t="s">
        <v>284</v>
      </c>
      <c r="D207" s="178">
        <v>40.521999999999998</v>
      </c>
    </row>
    <row r="208" spans="1:4" x14ac:dyDescent="0.3">
      <c r="A208" s="163" t="s">
        <v>600</v>
      </c>
      <c r="B208" s="173" t="s">
        <v>601</v>
      </c>
      <c r="C208" s="173" t="s">
        <v>257</v>
      </c>
      <c r="D208" s="178">
        <v>15.894</v>
      </c>
    </row>
    <row r="209" spans="1:4" x14ac:dyDescent="0.3">
      <c r="A209" s="162" t="s">
        <v>602</v>
      </c>
      <c r="B209" s="173" t="s">
        <v>603</v>
      </c>
      <c r="C209" s="169" t="s">
        <v>494</v>
      </c>
      <c r="D209" s="178">
        <v>2.3650000000000002</v>
      </c>
    </row>
    <row r="210" spans="1:4" x14ac:dyDescent="0.3">
      <c r="A210" s="162" t="s">
        <v>604</v>
      </c>
      <c r="B210" s="173" t="s">
        <v>605</v>
      </c>
      <c r="C210" s="169" t="s">
        <v>198</v>
      </c>
      <c r="D210" s="178">
        <v>14.689</v>
      </c>
    </row>
    <row r="211" spans="1:4" x14ac:dyDescent="0.3">
      <c r="A211" s="162" t="s">
        <v>606</v>
      </c>
      <c r="B211" s="173" t="s">
        <v>607</v>
      </c>
      <c r="C211" s="169" t="s">
        <v>198</v>
      </c>
      <c r="D211" s="178">
        <v>171.601</v>
      </c>
    </row>
    <row r="212" spans="1:4" x14ac:dyDescent="0.3">
      <c r="A212" s="162" t="s">
        <v>608</v>
      </c>
      <c r="B212" s="173" t="s">
        <v>609</v>
      </c>
      <c r="C212" s="169" t="s">
        <v>610</v>
      </c>
      <c r="D212" s="178">
        <v>0.311</v>
      </c>
    </row>
    <row r="213" spans="1:4" x14ac:dyDescent="0.3">
      <c r="A213" s="162" t="s">
        <v>611</v>
      </c>
      <c r="B213" s="173" t="s">
        <v>612</v>
      </c>
      <c r="C213" s="169" t="s">
        <v>273</v>
      </c>
      <c r="D213" s="178">
        <v>6.4459999999999997</v>
      </c>
    </row>
    <row r="214" spans="1:4" x14ac:dyDescent="0.3">
      <c r="A214" s="162" t="s">
        <v>613</v>
      </c>
      <c r="B214" s="173" t="s">
        <v>614</v>
      </c>
      <c r="C214" s="169" t="s">
        <v>200</v>
      </c>
      <c r="D214" s="178">
        <v>0.73399999999999999</v>
      </c>
    </row>
    <row r="215" spans="1:4" x14ac:dyDescent="0.3">
      <c r="A215" s="162" t="s">
        <v>615</v>
      </c>
      <c r="B215" s="173" t="s">
        <v>616</v>
      </c>
      <c r="C215" s="169" t="s">
        <v>209</v>
      </c>
      <c r="D215" s="178">
        <v>8.75</v>
      </c>
    </row>
    <row r="216" spans="1:4" x14ac:dyDescent="0.3">
      <c r="A216" s="162" t="s">
        <v>617</v>
      </c>
      <c r="B216" s="173" t="s">
        <v>618</v>
      </c>
      <c r="C216" s="169" t="s">
        <v>198</v>
      </c>
      <c r="D216" s="178">
        <v>28.923999999999999</v>
      </c>
    </row>
    <row r="217" spans="1:4" x14ac:dyDescent="0.3">
      <c r="A217" s="162" t="s">
        <v>619</v>
      </c>
      <c r="B217" s="173" t="s">
        <v>620</v>
      </c>
      <c r="C217" s="169" t="s">
        <v>371</v>
      </c>
      <c r="D217" s="178">
        <v>1.4999999999999999E-2</v>
      </c>
    </row>
    <row r="218" spans="1:4" x14ac:dyDescent="0.3">
      <c r="A218" s="162" t="s">
        <v>621</v>
      </c>
      <c r="B218" s="173" t="s">
        <v>622</v>
      </c>
      <c r="C218" s="169" t="s">
        <v>432</v>
      </c>
      <c r="D218" s="178">
        <v>0.24199999999999999</v>
      </c>
    </row>
    <row r="219" spans="1:4" x14ac:dyDescent="0.3">
      <c r="A219" s="162" t="s">
        <v>623</v>
      </c>
      <c r="B219" s="173" t="s">
        <v>624</v>
      </c>
      <c r="C219" s="169" t="s">
        <v>625</v>
      </c>
      <c r="D219" s="178">
        <v>11.725</v>
      </c>
    </row>
    <row r="220" spans="1:4" x14ac:dyDescent="0.3">
      <c r="A220" s="162" t="s">
        <v>626</v>
      </c>
      <c r="B220" s="173" t="s">
        <v>627</v>
      </c>
      <c r="C220" s="169" t="s">
        <v>199</v>
      </c>
      <c r="D220" s="178">
        <v>0.75700000000000001</v>
      </c>
    </row>
    <row r="221" spans="1:4" x14ac:dyDescent="0.3">
      <c r="A221" s="162" t="s">
        <v>628</v>
      </c>
      <c r="B221" s="173" t="s">
        <v>629</v>
      </c>
      <c r="C221" s="169" t="s">
        <v>396</v>
      </c>
      <c r="D221" s="178">
        <v>1.1559999999999999</v>
      </c>
    </row>
    <row r="222" spans="1:4" x14ac:dyDescent="0.3">
      <c r="A222" s="162" t="s">
        <v>630</v>
      </c>
      <c r="B222" s="173" t="s">
        <v>631</v>
      </c>
      <c r="C222" s="169" t="s">
        <v>632</v>
      </c>
      <c r="D222" s="178">
        <v>516.48599999999999</v>
      </c>
    </row>
    <row r="223" spans="1:4" x14ac:dyDescent="0.3">
      <c r="A223" s="162" t="s">
        <v>633</v>
      </c>
      <c r="B223" s="173" t="s">
        <v>634</v>
      </c>
      <c r="C223" s="169" t="s">
        <v>257</v>
      </c>
      <c r="D223" s="178">
        <v>17.574000000000002</v>
      </c>
    </row>
    <row r="224" spans="1:4" x14ac:dyDescent="0.3">
      <c r="A224" s="162" t="s">
        <v>635</v>
      </c>
      <c r="B224" s="173" t="s">
        <v>636</v>
      </c>
      <c r="C224" s="169" t="s">
        <v>198</v>
      </c>
      <c r="D224" s="178">
        <v>33.792000000000002</v>
      </c>
    </row>
    <row r="225" spans="1:4" x14ac:dyDescent="0.3">
      <c r="A225" s="162" t="s">
        <v>639</v>
      </c>
      <c r="B225" s="173" t="s">
        <v>640</v>
      </c>
      <c r="C225" s="169" t="s">
        <v>198</v>
      </c>
      <c r="D225" s="178">
        <v>542.82399999999996</v>
      </c>
    </row>
    <row r="226" spans="1:4" x14ac:dyDescent="0.3">
      <c r="A226" s="162" t="s">
        <v>641</v>
      </c>
      <c r="B226" s="173" t="s">
        <v>642</v>
      </c>
      <c r="C226" s="169" t="s">
        <v>199</v>
      </c>
      <c r="D226" s="178">
        <v>35.713000000000001</v>
      </c>
    </row>
    <row r="227" spans="1:4" x14ac:dyDescent="0.3">
      <c r="A227" s="162" t="s">
        <v>1567</v>
      </c>
      <c r="B227" s="173" t="s">
        <v>1568</v>
      </c>
      <c r="C227" s="169" t="s">
        <v>199</v>
      </c>
      <c r="D227" s="178">
        <v>69.759</v>
      </c>
    </row>
    <row r="228" spans="1:4" x14ac:dyDescent="0.3">
      <c r="A228" s="162" t="s">
        <v>643</v>
      </c>
      <c r="B228" s="173" t="s">
        <v>644</v>
      </c>
      <c r="C228" s="169" t="s">
        <v>209</v>
      </c>
      <c r="D228" s="178">
        <v>16.373000000000001</v>
      </c>
    </row>
    <row r="229" spans="1:4" x14ac:dyDescent="0.3">
      <c r="A229" s="162" t="s">
        <v>645</v>
      </c>
      <c r="B229" s="173" t="s">
        <v>646</v>
      </c>
      <c r="C229" s="169" t="s">
        <v>198</v>
      </c>
      <c r="D229" s="178">
        <v>0.20300000000000001</v>
      </c>
    </row>
    <row r="230" spans="1:4" x14ac:dyDescent="0.3">
      <c r="A230" s="162" t="s">
        <v>647</v>
      </c>
      <c r="B230" s="173" t="s">
        <v>648</v>
      </c>
      <c r="C230" s="169" t="s">
        <v>371</v>
      </c>
      <c r="D230" s="178">
        <v>44.151000000000003</v>
      </c>
    </row>
    <row r="231" spans="1:4" x14ac:dyDescent="0.3">
      <c r="A231" s="162" t="s">
        <v>654</v>
      </c>
      <c r="B231" s="173" t="s">
        <v>655</v>
      </c>
      <c r="C231" s="169" t="s">
        <v>656</v>
      </c>
      <c r="D231" s="178">
        <v>8.3109999999999999</v>
      </c>
    </row>
    <row r="232" spans="1:4" x14ac:dyDescent="0.3">
      <c r="A232" s="162" t="s">
        <v>2020</v>
      </c>
      <c r="B232" s="173" t="s">
        <v>2021</v>
      </c>
      <c r="C232" s="169" t="s">
        <v>198</v>
      </c>
      <c r="D232" s="178">
        <v>462.86700000000002</v>
      </c>
    </row>
    <row r="233" spans="1:4" x14ac:dyDescent="0.3">
      <c r="A233" s="162" t="s">
        <v>657</v>
      </c>
      <c r="B233" s="173" t="s">
        <v>658</v>
      </c>
      <c r="C233" s="169" t="s">
        <v>659</v>
      </c>
      <c r="D233" s="178">
        <v>0.65400000000000003</v>
      </c>
    </row>
    <row r="234" spans="1:4" x14ac:dyDescent="0.3">
      <c r="A234" s="162" t="s">
        <v>660</v>
      </c>
      <c r="B234" s="173" t="s">
        <v>661</v>
      </c>
      <c r="C234" s="169" t="s">
        <v>198</v>
      </c>
      <c r="D234" s="178">
        <v>65.971999999999994</v>
      </c>
    </row>
    <row r="235" spans="1:4" x14ac:dyDescent="0.3">
      <c r="A235" s="162" t="s">
        <v>662</v>
      </c>
      <c r="B235" s="173" t="s">
        <v>663</v>
      </c>
      <c r="C235" s="169" t="s">
        <v>273</v>
      </c>
      <c r="D235" s="178">
        <v>35.884</v>
      </c>
    </row>
    <row r="236" spans="1:4" x14ac:dyDescent="0.3">
      <c r="A236" s="162" t="s">
        <v>664</v>
      </c>
      <c r="B236" s="173" t="s">
        <v>665</v>
      </c>
      <c r="C236" s="169" t="s">
        <v>311</v>
      </c>
      <c r="D236" s="178">
        <v>0.6</v>
      </c>
    </row>
    <row r="237" spans="1:4" x14ac:dyDescent="0.3">
      <c r="A237" s="162" t="s">
        <v>1569</v>
      </c>
      <c r="B237" s="173" t="s">
        <v>1570</v>
      </c>
      <c r="C237" s="169" t="s">
        <v>198</v>
      </c>
      <c r="D237" s="178">
        <v>2.9409999999999998</v>
      </c>
    </row>
    <row r="238" spans="1:4" x14ac:dyDescent="0.3">
      <c r="A238" s="163" t="s">
        <v>1571</v>
      </c>
      <c r="B238" s="173" t="s">
        <v>1572</v>
      </c>
      <c r="C238" s="175" t="s">
        <v>198</v>
      </c>
      <c r="D238" s="178">
        <v>2.9239999999999999</v>
      </c>
    </row>
    <row r="239" spans="1:4" x14ac:dyDescent="0.3">
      <c r="A239" s="162" t="s">
        <v>668</v>
      </c>
      <c r="B239" s="173" t="s">
        <v>669</v>
      </c>
      <c r="C239" s="169" t="s">
        <v>670</v>
      </c>
      <c r="D239" s="178">
        <v>1495.367</v>
      </c>
    </row>
    <row r="240" spans="1:4" x14ac:dyDescent="0.3">
      <c r="A240" s="162" t="s">
        <v>1981</v>
      </c>
      <c r="B240" s="173" t="s">
        <v>1982</v>
      </c>
      <c r="C240" s="169" t="s">
        <v>458</v>
      </c>
      <c r="D240" s="178">
        <v>133.464</v>
      </c>
    </row>
    <row r="241" spans="1:4" x14ac:dyDescent="0.3">
      <c r="A241" s="162" t="s">
        <v>671</v>
      </c>
      <c r="B241" s="173" t="s">
        <v>672</v>
      </c>
      <c r="C241" s="169" t="s">
        <v>199</v>
      </c>
      <c r="D241" s="178">
        <v>9.1999999999999998E-2</v>
      </c>
    </row>
    <row r="242" spans="1:4" x14ac:dyDescent="0.3">
      <c r="A242" s="162" t="s">
        <v>673</v>
      </c>
      <c r="B242" s="173" t="s">
        <v>674</v>
      </c>
      <c r="C242" s="169" t="s">
        <v>405</v>
      </c>
      <c r="D242" s="178">
        <v>25.375</v>
      </c>
    </row>
    <row r="243" spans="1:4" x14ac:dyDescent="0.3">
      <c r="A243" s="162" t="s">
        <v>675</v>
      </c>
      <c r="B243" s="173" t="s">
        <v>676</v>
      </c>
      <c r="C243" s="169" t="s">
        <v>295</v>
      </c>
      <c r="D243" s="178">
        <v>0.878</v>
      </c>
    </row>
    <row r="244" spans="1:4" x14ac:dyDescent="0.3">
      <c r="A244" s="162" t="s">
        <v>677</v>
      </c>
      <c r="B244" s="173" t="s">
        <v>678</v>
      </c>
      <c r="C244" s="169" t="s">
        <v>458</v>
      </c>
      <c r="D244" s="178">
        <v>29.753</v>
      </c>
    </row>
    <row r="245" spans="1:4" x14ac:dyDescent="0.3">
      <c r="A245" s="162" t="s">
        <v>679</v>
      </c>
      <c r="B245" s="173" t="s">
        <v>680</v>
      </c>
      <c r="C245" s="169" t="s">
        <v>199</v>
      </c>
      <c r="D245" s="178">
        <v>2.3E-2</v>
      </c>
    </row>
    <row r="246" spans="1:4" x14ac:dyDescent="0.3">
      <c r="A246" s="162" t="s">
        <v>681</v>
      </c>
      <c r="B246" s="173" t="s">
        <v>682</v>
      </c>
      <c r="C246" s="169" t="s">
        <v>683</v>
      </c>
      <c r="D246" s="178">
        <v>9.5879999999999992</v>
      </c>
    </row>
    <row r="247" spans="1:4" x14ac:dyDescent="0.3">
      <c r="A247" s="162" t="s">
        <v>684</v>
      </c>
      <c r="B247" s="173" t="s">
        <v>685</v>
      </c>
      <c r="C247" s="169" t="s">
        <v>442</v>
      </c>
      <c r="D247" s="178">
        <v>4.8550000000000004</v>
      </c>
    </row>
    <row r="248" spans="1:4" x14ac:dyDescent="0.3">
      <c r="A248" s="162" t="s">
        <v>686</v>
      </c>
      <c r="B248" s="173" t="s">
        <v>687</v>
      </c>
      <c r="C248" s="169" t="s">
        <v>688</v>
      </c>
      <c r="D248" s="178">
        <v>0.74099999999999999</v>
      </c>
    </row>
    <row r="249" spans="1:4" x14ac:dyDescent="0.3">
      <c r="A249" s="162" t="s">
        <v>689</v>
      </c>
      <c r="B249" s="173" t="s">
        <v>690</v>
      </c>
      <c r="C249" s="169" t="s">
        <v>522</v>
      </c>
      <c r="D249" s="178">
        <v>2.6040000000000001</v>
      </c>
    </row>
    <row r="250" spans="1:4" x14ac:dyDescent="0.3">
      <c r="A250" s="162" t="s">
        <v>691</v>
      </c>
      <c r="B250" s="173" t="s">
        <v>692</v>
      </c>
      <c r="C250" s="169" t="s">
        <v>257</v>
      </c>
      <c r="D250" s="178">
        <v>6.11</v>
      </c>
    </row>
    <row r="251" spans="1:4" x14ac:dyDescent="0.3">
      <c r="A251" s="162" t="s">
        <v>693</v>
      </c>
      <c r="B251" s="173" t="s">
        <v>694</v>
      </c>
      <c r="C251" s="173" t="s">
        <v>198</v>
      </c>
      <c r="D251" s="178">
        <v>29.11</v>
      </c>
    </row>
    <row r="252" spans="1:4" x14ac:dyDescent="0.3">
      <c r="A252" s="162" t="s">
        <v>695</v>
      </c>
      <c r="B252" s="173" t="s">
        <v>696</v>
      </c>
      <c r="C252" s="169" t="s">
        <v>257</v>
      </c>
      <c r="D252" s="178">
        <v>0.69899999999999995</v>
      </c>
    </row>
    <row r="253" spans="1:4" x14ac:dyDescent="0.3">
      <c r="A253" s="162" t="s">
        <v>697</v>
      </c>
      <c r="B253" s="173" t="s">
        <v>698</v>
      </c>
      <c r="C253" s="169" t="s">
        <v>699</v>
      </c>
      <c r="D253" s="178">
        <v>20.196999999999999</v>
      </c>
    </row>
    <row r="254" spans="1:4" x14ac:dyDescent="0.3">
      <c r="A254" s="162" t="s">
        <v>700</v>
      </c>
      <c r="B254" s="173" t="s">
        <v>701</v>
      </c>
      <c r="C254" s="169" t="s">
        <v>198</v>
      </c>
      <c r="D254" s="178">
        <v>0.47599999999999998</v>
      </c>
    </row>
    <row r="255" spans="1:4" x14ac:dyDescent="0.3">
      <c r="A255" s="162" t="s">
        <v>702</v>
      </c>
      <c r="B255" s="173" t="s">
        <v>703</v>
      </c>
      <c r="C255" s="169" t="s">
        <v>198</v>
      </c>
      <c r="D255" s="178">
        <v>0.16800000000000001</v>
      </c>
    </row>
    <row r="256" spans="1:4" x14ac:dyDescent="0.3">
      <c r="A256" s="163" t="s">
        <v>704</v>
      </c>
      <c r="B256" s="173" t="s">
        <v>705</v>
      </c>
      <c r="C256" s="175" t="s">
        <v>200</v>
      </c>
      <c r="D256" s="178">
        <v>1.7050000000000001</v>
      </c>
    </row>
    <row r="257" spans="1:4" x14ac:dyDescent="0.3">
      <c r="A257" s="162" t="s">
        <v>706</v>
      </c>
      <c r="B257" s="173" t="s">
        <v>707</v>
      </c>
      <c r="C257" s="169" t="s">
        <v>199</v>
      </c>
      <c r="D257" s="178">
        <v>5.125</v>
      </c>
    </row>
    <row r="258" spans="1:4" x14ac:dyDescent="0.3">
      <c r="A258" s="163" t="s">
        <v>708</v>
      </c>
      <c r="B258" s="173" t="s">
        <v>709</v>
      </c>
      <c r="C258" s="173" t="s">
        <v>199</v>
      </c>
      <c r="D258" s="178">
        <v>11.529</v>
      </c>
    </row>
    <row r="259" spans="1:4" x14ac:dyDescent="0.3">
      <c r="A259" s="162" t="s">
        <v>710</v>
      </c>
      <c r="B259" s="173" t="s">
        <v>711</v>
      </c>
      <c r="C259" s="169" t="s">
        <v>452</v>
      </c>
      <c r="D259" s="178">
        <v>9.0779999999999994</v>
      </c>
    </row>
    <row r="260" spans="1:4" x14ac:dyDescent="0.3">
      <c r="A260" s="162" t="s">
        <v>712</v>
      </c>
      <c r="B260" s="173" t="s">
        <v>713</v>
      </c>
      <c r="C260" s="169" t="s">
        <v>257</v>
      </c>
      <c r="D260" s="178">
        <v>9.6669999999999998</v>
      </c>
    </row>
    <row r="261" spans="1:4" x14ac:dyDescent="0.3">
      <c r="A261" s="162" t="s">
        <v>714</v>
      </c>
      <c r="B261" s="173" t="s">
        <v>715</v>
      </c>
      <c r="C261" s="169" t="s">
        <v>199</v>
      </c>
      <c r="D261" s="178">
        <v>2.7749999999999999</v>
      </c>
    </row>
    <row r="262" spans="1:4" x14ac:dyDescent="0.3">
      <c r="A262" s="162" t="s">
        <v>716</v>
      </c>
      <c r="B262" s="173" t="s">
        <v>717</v>
      </c>
      <c r="C262" s="169" t="s">
        <v>198</v>
      </c>
      <c r="D262" s="178">
        <v>9.5850000000000009</v>
      </c>
    </row>
    <row r="263" spans="1:4" x14ac:dyDescent="0.3">
      <c r="A263" s="162" t="s">
        <v>718</v>
      </c>
      <c r="B263" s="173" t="s">
        <v>719</v>
      </c>
      <c r="C263" s="169" t="s">
        <v>198</v>
      </c>
      <c r="D263" s="178">
        <v>3.5369999999999999</v>
      </c>
    </row>
    <row r="264" spans="1:4" x14ac:dyDescent="0.3">
      <c r="A264" s="162" t="s">
        <v>720</v>
      </c>
      <c r="B264" s="173" t="s">
        <v>721</v>
      </c>
      <c r="C264" s="169" t="s">
        <v>198</v>
      </c>
      <c r="D264" s="178">
        <v>24.170999999999999</v>
      </c>
    </row>
    <row r="265" spans="1:4" x14ac:dyDescent="0.3">
      <c r="A265" s="162" t="s">
        <v>722</v>
      </c>
      <c r="B265" s="173" t="s">
        <v>723</v>
      </c>
      <c r="C265" s="169" t="s">
        <v>198</v>
      </c>
      <c r="D265" s="178">
        <v>60.491999999999997</v>
      </c>
    </row>
    <row r="266" spans="1:4" x14ac:dyDescent="0.3">
      <c r="A266" s="162" t="s">
        <v>724</v>
      </c>
      <c r="B266" s="173" t="s">
        <v>725</v>
      </c>
      <c r="C266" s="169" t="s">
        <v>198</v>
      </c>
      <c r="D266" s="178">
        <v>207.50700000000001</v>
      </c>
    </row>
    <row r="267" spans="1:4" x14ac:dyDescent="0.3">
      <c r="A267" s="162" t="s">
        <v>726</v>
      </c>
      <c r="B267" s="173" t="s">
        <v>727</v>
      </c>
      <c r="C267" s="169" t="s">
        <v>728</v>
      </c>
      <c r="D267" s="178">
        <v>0.81599999999999995</v>
      </c>
    </row>
    <row r="268" spans="1:4" x14ac:dyDescent="0.3">
      <c r="A268" s="162" t="s">
        <v>729</v>
      </c>
      <c r="B268" s="173" t="s">
        <v>730</v>
      </c>
      <c r="C268" s="169" t="s">
        <v>200</v>
      </c>
      <c r="D268" s="178">
        <v>38.116999999999997</v>
      </c>
    </row>
    <row r="269" spans="1:4" x14ac:dyDescent="0.3">
      <c r="A269" s="162" t="s">
        <v>731</v>
      </c>
      <c r="B269" s="173" t="s">
        <v>732</v>
      </c>
      <c r="C269" s="169" t="s">
        <v>198</v>
      </c>
      <c r="D269" s="178">
        <v>2.9140000000000001</v>
      </c>
    </row>
    <row r="270" spans="1:4" x14ac:dyDescent="0.3">
      <c r="A270" s="162" t="s">
        <v>733</v>
      </c>
      <c r="B270" s="173" t="s">
        <v>734</v>
      </c>
      <c r="C270" s="169" t="s">
        <v>735</v>
      </c>
      <c r="D270" s="178">
        <v>4.1150000000000002</v>
      </c>
    </row>
    <row r="271" spans="1:4" x14ac:dyDescent="0.3">
      <c r="A271" s="162" t="s">
        <v>736</v>
      </c>
      <c r="B271" s="173" t="s">
        <v>737</v>
      </c>
      <c r="C271" s="169" t="s">
        <v>738</v>
      </c>
      <c r="D271" s="178">
        <v>30.446999999999999</v>
      </c>
    </row>
    <row r="272" spans="1:4" x14ac:dyDescent="0.3">
      <c r="A272" s="162" t="s">
        <v>739</v>
      </c>
      <c r="B272" s="173" t="s">
        <v>740</v>
      </c>
      <c r="C272" s="169" t="s">
        <v>198</v>
      </c>
      <c r="D272" s="178">
        <v>8.5999999999999993E-2</v>
      </c>
    </row>
    <row r="273" spans="1:4" x14ac:dyDescent="0.3">
      <c r="A273" s="162" t="s">
        <v>2097</v>
      </c>
      <c r="B273" s="173" t="s">
        <v>2098</v>
      </c>
      <c r="C273" s="169" t="s">
        <v>199</v>
      </c>
      <c r="D273" s="178">
        <v>42.268999999999998</v>
      </c>
    </row>
    <row r="274" spans="1:4" x14ac:dyDescent="0.3">
      <c r="A274" s="163" t="s">
        <v>741</v>
      </c>
      <c r="B274" s="173" t="s">
        <v>742</v>
      </c>
      <c r="C274" s="173" t="s">
        <v>199</v>
      </c>
      <c r="D274" s="178">
        <v>25.588000000000001</v>
      </c>
    </row>
    <row r="275" spans="1:4" x14ac:dyDescent="0.3">
      <c r="A275" s="162" t="s">
        <v>743</v>
      </c>
      <c r="B275" s="173" t="s">
        <v>744</v>
      </c>
      <c r="C275" s="169" t="s">
        <v>325</v>
      </c>
      <c r="D275" s="178">
        <v>25.126999999999999</v>
      </c>
    </row>
    <row r="276" spans="1:4" x14ac:dyDescent="0.3">
      <c r="A276" s="162" t="s">
        <v>745</v>
      </c>
      <c r="B276" s="173" t="s">
        <v>746</v>
      </c>
      <c r="C276" s="169" t="s">
        <v>198</v>
      </c>
      <c r="D276" s="178">
        <v>13.132</v>
      </c>
    </row>
    <row r="277" spans="1:4" x14ac:dyDescent="0.3">
      <c r="A277" s="162" t="s">
        <v>747</v>
      </c>
      <c r="B277" s="173" t="s">
        <v>748</v>
      </c>
      <c r="C277" s="169" t="s">
        <v>749</v>
      </c>
      <c r="D277" s="178">
        <v>10.576000000000001</v>
      </c>
    </row>
    <row r="278" spans="1:4" x14ac:dyDescent="0.3">
      <c r="A278" s="162" t="s">
        <v>750</v>
      </c>
      <c r="B278" s="173" t="s">
        <v>751</v>
      </c>
      <c r="C278" s="169" t="s">
        <v>728</v>
      </c>
      <c r="D278" s="178">
        <v>0.90500000000000003</v>
      </c>
    </row>
    <row r="279" spans="1:4" x14ac:dyDescent="0.3">
      <c r="A279" s="162" t="s">
        <v>752</v>
      </c>
      <c r="B279" s="173" t="s">
        <v>753</v>
      </c>
      <c r="C279" s="169" t="s">
        <v>452</v>
      </c>
      <c r="D279" s="178">
        <v>0.69699999999999995</v>
      </c>
    </row>
    <row r="280" spans="1:4" x14ac:dyDescent="0.3">
      <c r="A280" s="162" t="s">
        <v>2022</v>
      </c>
      <c r="B280" s="173" t="s">
        <v>2023</v>
      </c>
      <c r="C280" s="169" t="s">
        <v>396</v>
      </c>
      <c r="D280" s="178">
        <v>155.827</v>
      </c>
    </row>
    <row r="281" spans="1:4" x14ac:dyDescent="0.3">
      <c r="A281" s="162" t="s">
        <v>763</v>
      </c>
      <c r="B281" s="173" t="s">
        <v>764</v>
      </c>
      <c r="C281" s="169" t="s">
        <v>198</v>
      </c>
      <c r="D281" s="178">
        <v>3110.558</v>
      </c>
    </row>
    <row r="282" spans="1:4" x14ac:dyDescent="0.3">
      <c r="A282" s="162" t="s">
        <v>765</v>
      </c>
      <c r="B282" s="173" t="s">
        <v>766</v>
      </c>
      <c r="C282" s="169" t="s">
        <v>767</v>
      </c>
      <c r="D282" s="178">
        <v>35.226999999999997</v>
      </c>
    </row>
    <row r="283" spans="1:4" x14ac:dyDescent="0.3">
      <c r="A283" s="162" t="s">
        <v>768</v>
      </c>
      <c r="B283" s="173" t="s">
        <v>769</v>
      </c>
      <c r="C283" s="169" t="s">
        <v>209</v>
      </c>
      <c r="D283" s="178">
        <v>26.17</v>
      </c>
    </row>
    <row r="284" spans="1:4" x14ac:dyDescent="0.3">
      <c r="A284" s="162" t="s">
        <v>770</v>
      </c>
      <c r="B284" s="173" t="s">
        <v>771</v>
      </c>
      <c r="C284" s="169" t="s">
        <v>767</v>
      </c>
      <c r="D284" s="178">
        <v>0.68700000000000006</v>
      </c>
    </row>
    <row r="285" spans="1:4" x14ac:dyDescent="0.3">
      <c r="A285" s="162" t="s">
        <v>772</v>
      </c>
      <c r="B285" s="173" t="s">
        <v>773</v>
      </c>
      <c r="C285" s="169" t="s">
        <v>774</v>
      </c>
      <c r="D285" s="178">
        <v>1.284</v>
      </c>
    </row>
    <row r="286" spans="1:4" x14ac:dyDescent="0.3">
      <c r="A286" s="162" t="s">
        <v>775</v>
      </c>
      <c r="B286" s="173" t="s">
        <v>776</v>
      </c>
      <c r="C286" s="169" t="s">
        <v>683</v>
      </c>
      <c r="D286" s="178">
        <v>121.211</v>
      </c>
    </row>
    <row r="287" spans="1:4" x14ac:dyDescent="0.3">
      <c r="A287" s="162" t="s">
        <v>777</v>
      </c>
      <c r="B287" s="173" t="s">
        <v>778</v>
      </c>
      <c r="C287" s="169" t="s">
        <v>209</v>
      </c>
      <c r="D287" s="178">
        <v>2.7810000000000001</v>
      </c>
    </row>
    <row r="288" spans="1:4" x14ac:dyDescent="0.3">
      <c r="A288" s="162" t="s">
        <v>779</v>
      </c>
      <c r="B288" s="173" t="s">
        <v>780</v>
      </c>
      <c r="C288" s="169" t="s">
        <v>781</v>
      </c>
      <c r="D288" s="178">
        <v>40.295000000000002</v>
      </c>
    </row>
    <row r="289" spans="1:4" x14ac:dyDescent="0.3">
      <c r="A289" s="163" t="s">
        <v>782</v>
      </c>
      <c r="B289" s="173" t="s">
        <v>783</v>
      </c>
      <c r="C289" s="169" t="s">
        <v>198</v>
      </c>
      <c r="D289" s="178">
        <v>402.53800000000001</v>
      </c>
    </row>
    <row r="290" spans="1:4" x14ac:dyDescent="0.3">
      <c r="A290" s="162" t="s">
        <v>784</v>
      </c>
      <c r="B290" s="173" t="s">
        <v>785</v>
      </c>
      <c r="C290" s="169" t="s">
        <v>452</v>
      </c>
      <c r="D290" s="178">
        <v>7.7060000000000004</v>
      </c>
    </row>
    <row r="291" spans="1:4" x14ac:dyDescent="0.3">
      <c r="A291" s="162" t="s">
        <v>786</v>
      </c>
      <c r="B291" s="173" t="s">
        <v>787</v>
      </c>
      <c r="C291" s="169" t="s">
        <v>209</v>
      </c>
      <c r="D291" s="178">
        <v>1.0860000000000001</v>
      </c>
    </row>
    <row r="292" spans="1:4" x14ac:dyDescent="0.3">
      <c r="A292" s="162" t="s">
        <v>788</v>
      </c>
      <c r="B292" s="173" t="s">
        <v>789</v>
      </c>
      <c r="C292" s="169" t="s">
        <v>553</v>
      </c>
      <c r="D292" s="178">
        <v>9.8439999999999994</v>
      </c>
    </row>
    <row r="293" spans="1:4" x14ac:dyDescent="0.3">
      <c r="A293" s="162" t="s">
        <v>790</v>
      </c>
      <c r="B293" s="173" t="s">
        <v>791</v>
      </c>
      <c r="C293" s="169" t="s">
        <v>405</v>
      </c>
      <c r="D293" s="178">
        <v>113.925</v>
      </c>
    </row>
    <row r="294" spans="1:4" x14ac:dyDescent="0.3">
      <c r="A294" s="162" t="s">
        <v>792</v>
      </c>
      <c r="B294" s="173" t="s">
        <v>793</v>
      </c>
      <c r="C294" s="169" t="s">
        <v>295</v>
      </c>
      <c r="D294" s="178">
        <v>1.04</v>
      </c>
    </row>
    <row r="295" spans="1:4" x14ac:dyDescent="0.3">
      <c r="A295" s="162" t="s">
        <v>794</v>
      </c>
      <c r="B295" s="173" t="s">
        <v>795</v>
      </c>
      <c r="C295" s="169" t="s">
        <v>199</v>
      </c>
      <c r="D295" s="178">
        <v>0.11600000000000001</v>
      </c>
    </row>
    <row r="296" spans="1:4" x14ac:dyDescent="0.3">
      <c r="A296" s="162" t="s">
        <v>796</v>
      </c>
      <c r="B296" s="173" t="s">
        <v>797</v>
      </c>
      <c r="C296" s="169" t="s">
        <v>199</v>
      </c>
      <c r="D296" s="178">
        <v>1.8069999999999999</v>
      </c>
    </row>
    <row r="297" spans="1:4" x14ac:dyDescent="0.3">
      <c r="A297" s="162" t="s">
        <v>798</v>
      </c>
      <c r="B297" s="173" t="s">
        <v>799</v>
      </c>
      <c r="C297" s="169" t="s">
        <v>371</v>
      </c>
      <c r="D297" s="178">
        <v>15.058</v>
      </c>
    </row>
    <row r="298" spans="1:4" x14ac:dyDescent="0.3">
      <c r="A298" s="162" t="s">
        <v>800</v>
      </c>
      <c r="B298" s="173" t="s">
        <v>801</v>
      </c>
      <c r="C298" s="169" t="s">
        <v>200</v>
      </c>
      <c r="D298" s="178">
        <v>392.67899999999997</v>
      </c>
    </row>
    <row r="299" spans="1:4" x14ac:dyDescent="0.3">
      <c r="A299" s="162" t="s">
        <v>802</v>
      </c>
      <c r="B299" s="173" t="s">
        <v>803</v>
      </c>
      <c r="C299" s="169" t="s">
        <v>199</v>
      </c>
      <c r="D299" s="178">
        <v>1.05</v>
      </c>
    </row>
    <row r="300" spans="1:4" x14ac:dyDescent="0.3">
      <c r="A300" s="162" t="s">
        <v>804</v>
      </c>
      <c r="B300" s="173" t="s">
        <v>805</v>
      </c>
      <c r="C300" s="169" t="s">
        <v>284</v>
      </c>
      <c r="D300" s="178">
        <v>337.46499999999997</v>
      </c>
    </row>
    <row r="301" spans="1:4" x14ac:dyDescent="0.3">
      <c r="A301" s="162" t="s">
        <v>806</v>
      </c>
      <c r="B301" s="173" t="s">
        <v>807</v>
      </c>
      <c r="C301" s="169" t="s">
        <v>808</v>
      </c>
      <c r="D301" s="178">
        <v>275.14</v>
      </c>
    </row>
    <row r="302" spans="1:4" x14ac:dyDescent="0.3">
      <c r="A302" s="162" t="s">
        <v>2108</v>
      </c>
      <c r="B302" s="173" t="s">
        <v>2109</v>
      </c>
      <c r="C302" s="169" t="s">
        <v>273</v>
      </c>
      <c r="D302" s="178">
        <v>83.228999999999999</v>
      </c>
    </row>
    <row r="303" spans="1:4" x14ac:dyDescent="0.3">
      <c r="A303" s="162" t="s">
        <v>811</v>
      </c>
      <c r="B303" s="173" t="s">
        <v>812</v>
      </c>
      <c r="C303" s="169" t="s">
        <v>396</v>
      </c>
      <c r="D303" s="178">
        <v>330.89600000000002</v>
      </c>
    </row>
    <row r="304" spans="1:4" x14ac:dyDescent="0.3">
      <c r="A304" s="162" t="s">
        <v>813</v>
      </c>
      <c r="B304" s="173" t="s">
        <v>814</v>
      </c>
      <c r="C304" s="169" t="s">
        <v>273</v>
      </c>
      <c r="D304" s="178">
        <v>61.475000000000001</v>
      </c>
    </row>
    <row r="305" spans="1:4" x14ac:dyDescent="0.3">
      <c r="A305" s="162" t="s">
        <v>815</v>
      </c>
      <c r="B305" s="173" t="s">
        <v>816</v>
      </c>
      <c r="C305" s="173" t="s">
        <v>198</v>
      </c>
      <c r="D305" s="178">
        <v>9.9450000000000003</v>
      </c>
    </row>
    <row r="306" spans="1:4" x14ac:dyDescent="0.3">
      <c r="A306" s="162" t="s">
        <v>817</v>
      </c>
      <c r="B306" s="173" t="s">
        <v>818</v>
      </c>
      <c r="C306" s="169" t="s">
        <v>819</v>
      </c>
      <c r="D306" s="178">
        <v>24.195</v>
      </c>
    </row>
    <row r="307" spans="1:4" x14ac:dyDescent="0.3">
      <c r="A307" s="162" t="s">
        <v>820</v>
      </c>
      <c r="B307" s="173" t="s">
        <v>821</v>
      </c>
      <c r="C307" s="169" t="s">
        <v>822</v>
      </c>
      <c r="D307" s="178">
        <v>79.468000000000004</v>
      </c>
    </row>
    <row r="308" spans="1:4" x14ac:dyDescent="0.3">
      <c r="A308" s="162" t="s">
        <v>823</v>
      </c>
      <c r="B308" s="173" t="s">
        <v>824</v>
      </c>
      <c r="C308" s="169" t="s">
        <v>825</v>
      </c>
      <c r="D308" s="178">
        <v>4.8140000000000001</v>
      </c>
    </row>
    <row r="309" spans="1:4" x14ac:dyDescent="0.3">
      <c r="A309" s="162" t="s">
        <v>826</v>
      </c>
      <c r="B309" s="173" t="s">
        <v>827</v>
      </c>
      <c r="C309" s="169" t="s">
        <v>825</v>
      </c>
      <c r="D309" s="178">
        <v>31.908999999999999</v>
      </c>
    </row>
    <row r="310" spans="1:4" x14ac:dyDescent="0.3">
      <c r="A310" s="162" t="s">
        <v>828</v>
      </c>
      <c r="B310" s="173" t="s">
        <v>1573</v>
      </c>
      <c r="C310" s="169" t="s">
        <v>396</v>
      </c>
      <c r="D310" s="178">
        <v>11.467000000000001</v>
      </c>
    </row>
    <row r="311" spans="1:4" x14ac:dyDescent="0.3">
      <c r="A311" s="162" t="s">
        <v>830</v>
      </c>
      <c r="B311" s="173" t="s">
        <v>831</v>
      </c>
      <c r="C311" s="169" t="s">
        <v>198</v>
      </c>
      <c r="D311" s="178">
        <v>7.0999999999999994E-2</v>
      </c>
    </row>
    <row r="312" spans="1:4" x14ac:dyDescent="0.3">
      <c r="A312" s="164" t="s">
        <v>832</v>
      </c>
      <c r="B312" s="173" t="s">
        <v>833</v>
      </c>
      <c r="C312" s="169" t="s">
        <v>834</v>
      </c>
      <c r="D312" s="178">
        <v>87.736999999999995</v>
      </c>
    </row>
    <row r="313" spans="1:4" x14ac:dyDescent="0.3">
      <c r="A313" s="162" t="s">
        <v>1574</v>
      </c>
      <c r="B313" s="173" t="s">
        <v>1575</v>
      </c>
      <c r="C313" s="169" t="s">
        <v>1576</v>
      </c>
      <c r="D313" s="178">
        <v>10.920999999999999</v>
      </c>
    </row>
    <row r="314" spans="1:4" x14ac:dyDescent="0.3">
      <c r="A314" s="162" t="s">
        <v>835</v>
      </c>
      <c r="B314" s="173" t="s">
        <v>836</v>
      </c>
      <c r="C314" s="169" t="s">
        <v>381</v>
      </c>
      <c r="D314" s="178">
        <v>6.5129999999999999</v>
      </c>
    </row>
    <row r="315" spans="1:4" x14ac:dyDescent="0.3">
      <c r="A315" s="162" t="s">
        <v>837</v>
      </c>
      <c r="B315" s="173" t="s">
        <v>838</v>
      </c>
      <c r="C315" s="169" t="s">
        <v>839</v>
      </c>
      <c r="D315" s="178">
        <v>119.267</v>
      </c>
    </row>
    <row r="316" spans="1:4" x14ac:dyDescent="0.3">
      <c r="A316" s="162" t="s">
        <v>842</v>
      </c>
      <c r="B316" s="173" t="s">
        <v>843</v>
      </c>
      <c r="C316" s="169" t="s">
        <v>325</v>
      </c>
      <c r="D316" s="178">
        <v>55.32</v>
      </c>
    </row>
    <row r="317" spans="1:4" x14ac:dyDescent="0.3">
      <c r="A317" s="162" t="s">
        <v>844</v>
      </c>
      <c r="B317" s="173" t="s">
        <v>845</v>
      </c>
      <c r="C317" s="169" t="s">
        <v>199</v>
      </c>
      <c r="D317" s="178">
        <v>128.49199999999999</v>
      </c>
    </row>
    <row r="318" spans="1:4" x14ac:dyDescent="0.3">
      <c r="A318" s="162" t="s">
        <v>846</v>
      </c>
      <c r="B318" s="173" t="s">
        <v>847</v>
      </c>
      <c r="C318" s="169" t="s">
        <v>848</v>
      </c>
      <c r="D318" s="178">
        <v>1.8620000000000001</v>
      </c>
    </row>
    <row r="319" spans="1:4" x14ac:dyDescent="0.3">
      <c r="A319" s="162" t="s">
        <v>849</v>
      </c>
      <c r="B319" s="173" t="s">
        <v>850</v>
      </c>
      <c r="C319" s="169" t="s">
        <v>491</v>
      </c>
      <c r="D319" s="178">
        <v>4.1879999999999997</v>
      </c>
    </row>
    <row r="320" spans="1:4" x14ac:dyDescent="0.3">
      <c r="A320" s="162" t="s">
        <v>851</v>
      </c>
      <c r="B320" s="173" t="s">
        <v>850</v>
      </c>
      <c r="C320" s="169" t="s">
        <v>852</v>
      </c>
      <c r="D320" s="178">
        <v>5.524</v>
      </c>
    </row>
    <row r="321" spans="1:4" x14ac:dyDescent="0.3">
      <c r="A321" s="162" t="s">
        <v>853</v>
      </c>
      <c r="B321" s="173" t="s">
        <v>854</v>
      </c>
      <c r="C321" s="169" t="s">
        <v>198</v>
      </c>
      <c r="D321" s="178">
        <v>85.822999999999993</v>
      </c>
    </row>
    <row r="322" spans="1:4" x14ac:dyDescent="0.3">
      <c r="A322" s="162" t="s">
        <v>855</v>
      </c>
      <c r="B322" s="173" t="s">
        <v>856</v>
      </c>
      <c r="C322" s="169" t="s">
        <v>405</v>
      </c>
      <c r="D322" s="178">
        <v>38.198999999999998</v>
      </c>
    </row>
    <row r="323" spans="1:4" x14ac:dyDescent="0.3">
      <c r="A323" s="162" t="s">
        <v>857</v>
      </c>
      <c r="B323" s="173" t="s">
        <v>858</v>
      </c>
      <c r="C323" s="169" t="s">
        <v>273</v>
      </c>
      <c r="D323" s="178">
        <v>0.84099999999999997</v>
      </c>
    </row>
    <row r="324" spans="1:4" x14ac:dyDescent="0.3">
      <c r="A324" s="162" t="s">
        <v>1948</v>
      </c>
      <c r="B324" s="173" t="s">
        <v>1949</v>
      </c>
      <c r="C324" s="169" t="s">
        <v>198</v>
      </c>
      <c r="D324" s="178">
        <v>16.420999999999999</v>
      </c>
    </row>
    <row r="325" spans="1:4" x14ac:dyDescent="0.3">
      <c r="A325" s="163" t="s">
        <v>859</v>
      </c>
      <c r="B325" s="173" t="s">
        <v>860</v>
      </c>
      <c r="C325" s="173" t="s">
        <v>371</v>
      </c>
      <c r="D325" s="178">
        <v>41.685000000000002</v>
      </c>
    </row>
    <row r="326" spans="1:4" x14ac:dyDescent="0.3">
      <c r="A326" s="163" t="s">
        <v>863</v>
      </c>
      <c r="B326" s="173" t="s">
        <v>864</v>
      </c>
      <c r="C326" s="173" t="s">
        <v>198</v>
      </c>
      <c r="D326" s="178">
        <v>1.744</v>
      </c>
    </row>
    <row r="327" spans="1:4" x14ac:dyDescent="0.3">
      <c r="A327" s="162" t="s">
        <v>865</v>
      </c>
      <c r="B327" s="173" t="s">
        <v>866</v>
      </c>
      <c r="C327" s="169" t="s">
        <v>199</v>
      </c>
      <c r="D327" s="178">
        <v>6.9989999999999997</v>
      </c>
    </row>
    <row r="328" spans="1:4" x14ac:dyDescent="0.3">
      <c r="A328" s="162" t="s">
        <v>867</v>
      </c>
      <c r="B328" s="173" t="s">
        <v>868</v>
      </c>
      <c r="C328" s="169" t="s">
        <v>198</v>
      </c>
      <c r="D328" s="178">
        <v>139.47999999999999</v>
      </c>
    </row>
    <row r="329" spans="1:4" x14ac:dyDescent="0.3">
      <c r="A329" s="162" t="s">
        <v>869</v>
      </c>
      <c r="B329" s="173" t="s">
        <v>870</v>
      </c>
      <c r="C329" s="169" t="s">
        <v>198</v>
      </c>
      <c r="D329" s="178">
        <v>3.1970000000000001</v>
      </c>
    </row>
    <row r="330" spans="1:4" x14ac:dyDescent="0.3">
      <c r="A330" s="162" t="s">
        <v>1577</v>
      </c>
      <c r="B330" s="173" t="s">
        <v>1578</v>
      </c>
      <c r="C330" s="169" t="s">
        <v>198</v>
      </c>
      <c r="D330" s="178">
        <v>9.6999999999999993</v>
      </c>
    </row>
    <row r="331" spans="1:4" x14ac:dyDescent="0.3">
      <c r="A331" s="162" t="s">
        <v>871</v>
      </c>
      <c r="B331" s="173" t="s">
        <v>872</v>
      </c>
      <c r="C331" s="169" t="s">
        <v>198</v>
      </c>
      <c r="D331" s="178">
        <v>4.5999999999999999E-2</v>
      </c>
    </row>
    <row r="332" spans="1:4" x14ac:dyDescent="0.3">
      <c r="A332" s="162" t="s">
        <v>873</v>
      </c>
      <c r="B332" s="173" t="s">
        <v>874</v>
      </c>
      <c r="C332" s="173" t="s">
        <v>198</v>
      </c>
      <c r="D332" s="178">
        <v>1.649</v>
      </c>
    </row>
    <row r="333" spans="1:4" x14ac:dyDescent="0.3">
      <c r="A333" s="162" t="s">
        <v>875</v>
      </c>
      <c r="B333" s="173" t="s">
        <v>876</v>
      </c>
      <c r="C333" s="169" t="s">
        <v>209</v>
      </c>
      <c r="D333" s="178">
        <v>31.276</v>
      </c>
    </row>
    <row r="334" spans="1:4" x14ac:dyDescent="0.3">
      <c r="A334" s="162" t="s">
        <v>877</v>
      </c>
      <c r="B334" s="173" t="s">
        <v>878</v>
      </c>
      <c r="C334" s="169" t="s">
        <v>879</v>
      </c>
      <c r="D334" s="178">
        <v>1906.933</v>
      </c>
    </row>
    <row r="335" spans="1:4" x14ac:dyDescent="0.3">
      <c r="A335" s="162" t="s">
        <v>1950</v>
      </c>
      <c r="B335" s="173" t="s">
        <v>1951</v>
      </c>
      <c r="C335" s="169" t="s">
        <v>199</v>
      </c>
      <c r="D335" s="178">
        <v>321.37</v>
      </c>
    </row>
    <row r="336" spans="1:4" x14ac:dyDescent="0.3">
      <c r="A336" s="162" t="s">
        <v>880</v>
      </c>
      <c r="B336" s="173" t="s">
        <v>881</v>
      </c>
      <c r="C336" s="169" t="s">
        <v>198</v>
      </c>
      <c r="D336" s="178">
        <v>1.0009999999999999</v>
      </c>
    </row>
    <row r="337" spans="1:4" x14ac:dyDescent="0.3">
      <c r="A337" s="162" t="s">
        <v>882</v>
      </c>
      <c r="B337" s="173" t="s">
        <v>883</v>
      </c>
      <c r="C337" s="169" t="s">
        <v>198</v>
      </c>
      <c r="D337" s="178">
        <v>138.63499999999999</v>
      </c>
    </row>
    <row r="338" spans="1:4" x14ac:dyDescent="0.3">
      <c r="A338" s="162" t="s">
        <v>884</v>
      </c>
      <c r="B338" s="173" t="s">
        <v>885</v>
      </c>
      <c r="C338" s="169" t="s">
        <v>442</v>
      </c>
      <c r="D338" s="178">
        <v>42.826000000000001</v>
      </c>
    </row>
    <row r="339" spans="1:4" x14ac:dyDescent="0.3">
      <c r="A339" s="162" t="s">
        <v>886</v>
      </c>
      <c r="B339" s="173" t="s">
        <v>887</v>
      </c>
      <c r="C339" s="169" t="s">
        <v>494</v>
      </c>
      <c r="D339" s="178">
        <v>2.2370000000000001</v>
      </c>
    </row>
    <row r="340" spans="1:4" x14ac:dyDescent="0.3">
      <c r="A340" s="162" t="s">
        <v>888</v>
      </c>
      <c r="B340" s="173" t="s">
        <v>889</v>
      </c>
      <c r="C340" s="169" t="s">
        <v>198</v>
      </c>
      <c r="D340" s="178">
        <v>5.798</v>
      </c>
    </row>
    <row r="341" spans="1:4" x14ac:dyDescent="0.3">
      <c r="A341" s="162" t="s">
        <v>890</v>
      </c>
      <c r="B341" s="173" t="s">
        <v>891</v>
      </c>
      <c r="C341" s="169" t="s">
        <v>198</v>
      </c>
      <c r="D341" s="178">
        <v>55.706000000000003</v>
      </c>
    </row>
    <row r="342" spans="1:4" x14ac:dyDescent="0.3">
      <c r="A342" s="162" t="s">
        <v>892</v>
      </c>
      <c r="B342" s="173" t="s">
        <v>893</v>
      </c>
      <c r="C342" s="169" t="s">
        <v>198</v>
      </c>
      <c r="D342" s="178">
        <v>3.9020000000000001</v>
      </c>
    </row>
    <row r="343" spans="1:4" x14ac:dyDescent="0.3">
      <c r="A343" s="162" t="s">
        <v>894</v>
      </c>
      <c r="B343" s="173" t="s">
        <v>895</v>
      </c>
      <c r="C343" s="169" t="s">
        <v>199</v>
      </c>
      <c r="D343" s="178">
        <v>1.2909999999999999</v>
      </c>
    </row>
    <row r="344" spans="1:4" x14ac:dyDescent="0.3">
      <c r="A344" s="162" t="s">
        <v>896</v>
      </c>
      <c r="B344" s="173" t="s">
        <v>897</v>
      </c>
      <c r="C344" s="173" t="s">
        <v>198</v>
      </c>
      <c r="D344" s="178">
        <v>16.989000000000001</v>
      </c>
    </row>
    <row r="345" spans="1:4" x14ac:dyDescent="0.3">
      <c r="A345" s="162" t="s">
        <v>898</v>
      </c>
      <c r="B345" s="173" t="s">
        <v>899</v>
      </c>
      <c r="C345" s="169" t="s">
        <v>670</v>
      </c>
      <c r="D345" s="178">
        <v>363.57100000000003</v>
      </c>
    </row>
    <row r="346" spans="1:4" x14ac:dyDescent="0.3">
      <c r="A346" s="162" t="s">
        <v>900</v>
      </c>
      <c r="B346" s="173" t="s">
        <v>901</v>
      </c>
      <c r="C346" s="169" t="s">
        <v>198</v>
      </c>
      <c r="D346" s="178">
        <v>174.691</v>
      </c>
    </row>
    <row r="347" spans="1:4" x14ac:dyDescent="0.3">
      <c r="A347" s="162" t="s">
        <v>902</v>
      </c>
      <c r="B347" s="173" t="s">
        <v>903</v>
      </c>
      <c r="C347" s="169" t="s">
        <v>198</v>
      </c>
      <c r="D347" s="178">
        <v>12.292</v>
      </c>
    </row>
    <row r="348" spans="1:4" x14ac:dyDescent="0.3">
      <c r="A348" s="162" t="s">
        <v>904</v>
      </c>
      <c r="B348" s="173" t="s">
        <v>905</v>
      </c>
      <c r="C348" s="169" t="s">
        <v>200</v>
      </c>
      <c r="D348" s="178">
        <v>5.1630000000000003</v>
      </c>
    </row>
    <row r="349" spans="1:4" x14ac:dyDescent="0.3">
      <c r="A349" s="162" t="s">
        <v>906</v>
      </c>
      <c r="B349" s="173" t="s">
        <v>907</v>
      </c>
      <c r="C349" s="169" t="s">
        <v>284</v>
      </c>
      <c r="D349" s="178">
        <v>2.9580000000000002</v>
      </c>
    </row>
    <row r="350" spans="1:4" x14ac:dyDescent="0.3">
      <c r="A350" s="163" t="s">
        <v>908</v>
      </c>
      <c r="B350" s="173" t="s">
        <v>909</v>
      </c>
      <c r="C350" s="173" t="s">
        <v>198</v>
      </c>
      <c r="D350" s="178">
        <v>22.757000000000001</v>
      </c>
    </row>
    <row r="351" spans="1:4" x14ac:dyDescent="0.3">
      <c r="A351" s="162" t="s">
        <v>910</v>
      </c>
      <c r="B351" s="173" t="s">
        <v>911</v>
      </c>
      <c r="C351" s="169" t="s">
        <v>360</v>
      </c>
      <c r="D351" s="178">
        <v>359.73200000000003</v>
      </c>
    </row>
    <row r="352" spans="1:4" x14ac:dyDescent="0.3">
      <c r="A352" s="162" t="s">
        <v>912</v>
      </c>
      <c r="B352" s="173" t="s">
        <v>913</v>
      </c>
      <c r="C352" s="169" t="s">
        <v>273</v>
      </c>
      <c r="D352" s="178">
        <v>11.382999999999999</v>
      </c>
    </row>
    <row r="353" spans="1:4" x14ac:dyDescent="0.3">
      <c r="A353" s="162" t="s">
        <v>914</v>
      </c>
      <c r="B353" s="173" t="s">
        <v>915</v>
      </c>
      <c r="C353" s="169" t="s">
        <v>553</v>
      </c>
      <c r="D353" s="178">
        <v>10.775</v>
      </c>
    </row>
    <row r="354" spans="1:4" x14ac:dyDescent="0.3">
      <c r="A354" s="162" t="s">
        <v>916</v>
      </c>
      <c r="B354" s="173" t="s">
        <v>917</v>
      </c>
      <c r="C354" s="169" t="s">
        <v>257</v>
      </c>
      <c r="D354" s="178">
        <v>2.5609999999999999</v>
      </c>
    </row>
    <row r="355" spans="1:4" x14ac:dyDescent="0.3">
      <c r="A355" s="162" t="s">
        <v>918</v>
      </c>
      <c r="B355" s="173" t="s">
        <v>919</v>
      </c>
      <c r="C355" s="169" t="s">
        <v>257</v>
      </c>
      <c r="D355" s="178">
        <v>10.32</v>
      </c>
    </row>
    <row r="356" spans="1:4" x14ac:dyDescent="0.3">
      <c r="A356" s="162" t="s">
        <v>920</v>
      </c>
      <c r="B356" s="173" t="s">
        <v>921</v>
      </c>
      <c r="C356" s="169" t="s">
        <v>922</v>
      </c>
      <c r="D356" s="178">
        <v>1.5720000000000001</v>
      </c>
    </row>
    <row r="357" spans="1:4" x14ac:dyDescent="0.3">
      <c r="A357" s="162" t="s">
        <v>923</v>
      </c>
      <c r="B357" s="173" t="s">
        <v>924</v>
      </c>
      <c r="C357" s="169" t="s">
        <v>198</v>
      </c>
      <c r="D357" s="178">
        <v>3.2149999999999999</v>
      </c>
    </row>
    <row r="358" spans="1:4" x14ac:dyDescent="0.3">
      <c r="A358" s="162" t="s">
        <v>925</v>
      </c>
      <c r="B358" s="173" t="s">
        <v>926</v>
      </c>
      <c r="C358" s="169" t="s">
        <v>199</v>
      </c>
      <c r="D358" s="178">
        <v>1.0589999999999999</v>
      </c>
    </row>
    <row r="359" spans="1:4" x14ac:dyDescent="0.3">
      <c r="A359" s="163" t="s">
        <v>927</v>
      </c>
      <c r="B359" s="173" t="s">
        <v>928</v>
      </c>
      <c r="C359" s="173" t="s">
        <v>354</v>
      </c>
      <c r="D359" s="178">
        <v>0.49399999999999999</v>
      </c>
    </row>
    <row r="360" spans="1:4" x14ac:dyDescent="0.3">
      <c r="A360" s="162" t="s">
        <v>929</v>
      </c>
      <c r="B360" s="173" t="s">
        <v>930</v>
      </c>
      <c r="C360" s="169" t="s">
        <v>931</v>
      </c>
      <c r="D360" s="178">
        <v>0.36</v>
      </c>
    </row>
    <row r="361" spans="1:4" x14ac:dyDescent="0.3">
      <c r="A361" s="162" t="s">
        <v>932</v>
      </c>
      <c r="B361" s="173" t="s">
        <v>933</v>
      </c>
      <c r="C361" s="169" t="s">
        <v>284</v>
      </c>
      <c r="D361" s="178">
        <v>0.754</v>
      </c>
    </row>
    <row r="362" spans="1:4" x14ac:dyDescent="0.3">
      <c r="A362" s="162" t="s">
        <v>934</v>
      </c>
      <c r="B362" s="173" t="s">
        <v>935</v>
      </c>
      <c r="C362" s="169" t="s">
        <v>936</v>
      </c>
      <c r="D362" s="178">
        <v>0.17199999999999999</v>
      </c>
    </row>
    <row r="363" spans="1:4" x14ac:dyDescent="0.3">
      <c r="A363" s="162" t="s">
        <v>937</v>
      </c>
      <c r="B363" s="173" t="s">
        <v>938</v>
      </c>
      <c r="C363" s="169" t="s">
        <v>199</v>
      </c>
      <c r="D363" s="178">
        <v>1.5109999999999999</v>
      </c>
    </row>
    <row r="364" spans="1:4" x14ac:dyDescent="0.3">
      <c r="A364" s="162" t="s">
        <v>939</v>
      </c>
      <c r="B364" s="173" t="s">
        <v>940</v>
      </c>
      <c r="C364" s="169" t="s">
        <v>199</v>
      </c>
      <c r="D364" s="178">
        <v>11.584</v>
      </c>
    </row>
    <row r="365" spans="1:4" x14ac:dyDescent="0.3">
      <c r="A365" s="162" t="s">
        <v>941</v>
      </c>
      <c r="B365" s="173" t="s">
        <v>942</v>
      </c>
      <c r="C365" s="169" t="s">
        <v>198</v>
      </c>
      <c r="D365" s="178">
        <v>8.343</v>
      </c>
    </row>
    <row r="366" spans="1:4" x14ac:dyDescent="0.3">
      <c r="A366" s="162" t="s">
        <v>943</v>
      </c>
      <c r="B366" s="173" t="s">
        <v>944</v>
      </c>
      <c r="C366" s="169" t="s">
        <v>945</v>
      </c>
      <c r="D366" s="178">
        <v>2.7120000000000002</v>
      </c>
    </row>
    <row r="367" spans="1:4" x14ac:dyDescent="0.3">
      <c r="A367" s="162" t="s">
        <v>946</v>
      </c>
      <c r="B367" s="173" t="s">
        <v>944</v>
      </c>
      <c r="C367" s="169" t="s">
        <v>947</v>
      </c>
      <c r="D367" s="178">
        <v>1.3560000000000001</v>
      </c>
    </row>
    <row r="368" spans="1:4" x14ac:dyDescent="0.3">
      <c r="A368" s="162" t="s">
        <v>948</v>
      </c>
      <c r="B368" s="173" t="s">
        <v>949</v>
      </c>
      <c r="C368" s="169" t="s">
        <v>947</v>
      </c>
      <c r="D368" s="178">
        <v>0.89300000000000002</v>
      </c>
    </row>
    <row r="369" spans="1:4" x14ac:dyDescent="0.3">
      <c r="A369" s="162" t="s">
        <v>950</v>
      </c>
      <c r="B369" s="173" t="s">
        <v>944</v>
      </c>
      <c r="C369" s="169" t="s">
        <v>951</v>
      </c>
      <c r="D369" s="178">
        <v>0.67800000000000005</v>
      </c>
    </row>
    <row r="370" spans="1:4" x14ac:dyDescent="0.3">
      <c r="A370" s="162" t="s">
        <v>952</v>
      </c>
      <c r="B370" s="173" t="s">
        <v>953</v>
      </c>
      <c r="C370" s="169" t="s">
        <v>947</v>
      </c>
      <c r="D370" s="178">
        <v>1.8660000000000001</v>
      </c>
    </row>
    <row r="371" spans="1:4" x14ac:dyDescent="0.3">
      <c r="A371" s="162" t="s">
        <v>954</v>
      </c>
      <c r="B371" s="173" t="s">
        <v>955</v>
      </c>
      <c r="C371" s="169" t="s">
        <v>956</v>
      </c>
      <c r="D371" s="178">
        <v>3.7309999999999999</v>
      </c>
    </row>
    <row r="372" spans="1:4" x14ac:dyDescent="0.3">
      <c r="A372" s="162" t="s">
        <v>957</v>
      </c>
      <c r="B372" s="173" t="s">
        <v>958</v>
      </c>
      <c r="C372" s="169" t="s">
        <v>956</v>
      </c>
      <c r="D372" s="178">
        <v>2.4889999999999999</v>
      </c>
    </row>
    <row r="373" spans="1:4" x14ac:dyDescent="0.3">
      <c r="A373" s="162" t="s">
        <v>959</v>
      </c>
      <c r="B373" s="173" t="s">
        <v>960</v>
      </c>
      <c r="C373" s="169" t="s">
        <v>396</v>
      </c>
      <c r="D373" s="178">
        <v>49.904000000000003</v>
      </c>
    </row>
    <row r="374" spans="1:4" x14ac:dyDescent="0.3">
      <c r="A374" s="162" t="s">
        <v>961</v>
      </c>
      <c r="B374" s="173" t="s">
        <v>962</v>
      </c>
      <c r="C374" s="169" t="s">
        <v>963</v>
      </c>
      <c r="D374" s="178">
        <v>8.5449999999999999</v>
      </c>
    </row>
    <row r="375" spans="1:4" x14ac:dyDescent="0.3">
      <c r="A375" s="162" t="s">
        <v>1579</v>
      </c>
      <c r="B375" s="173" t="s">
        <v>1580</v>
      </c>
      <c r="C375" s="169" t="s">
        <v>198</v>
      </c>
      <c r="D375" s="178">
        <v>1.091</v>
      </c>
    </row>
    <row r="376" spans="1:4" x14ac:dyDescent="0.3">
      <c r="A376" s="162" t="s">
        <v>964</v>
      </c>
      <c r="B376" s="173" t="s">
        <v>965</v>
      </c>
      <c r="C376" s="169" t="s">
        <v>963</v>
      </c>
      <c r="D376" s="178">
        <v>1.341</v>
      </c>
    </row>
    <row r="377" spans="1:4" x14ac:dyDescent="0.3">
      <c r="A377" s="162" t="s">
        <v>966</v>
      </c>
      <c r="B377" s="173" t="s">
        <v>967</v>
      </c>
      <c r="C377" s="169" t="s">
        <v>963</v>
      </c>
      <c r="D377" s="178">
        <v>1.8580000000000001</v>
      </c>
    </row>
    <row r="378" spans="1:4" x14ac:dyDescent="0.3">
      <c r="A378" s="162" t="s">
        <v>968</v>
      </c>
      <c r="B378" s="173" t="s">
        <v>969</v>
      </c>
      <c r="C378" s="169" t="s">
        <v>963</v>
      </c>
      <c r="D378" s="178">
        <v>9.3699999999999992</v>
      </c>
    </row>
    <row r="379" spans="1:4" x14ac:dyDescent="0.3">
      <c r="A379" s="162" t="s">
        <v>970</v>
      </c>
      <c r="B379" s="173" t="s">
        <v>971</v>
      </c>
      <c r="C379" s="169" t="s">
        <v>963</v>
      </c>
      <c r="D379" s="178">
        <v>16.344999999999999</v>
      </c>
    </row>
    <row r="380" spans="1:4" x14ac:dyDescent="0.3">
      <c r="A380" s="163" t="s">
        <v>972</v>
      </c>
      <c r="B380" s="173" t="s">
        <v>973</v>
      </c>
      <c r="C380" s="169" t="s">
        <v>963</v>
      </c>
      <c r="D380" s="178">
        <v>1.2609999999999999</v>
      </c>
    </row>
    <row r="381" spans="1:4" x14ac:dyDescent="0.3">
      <c r="A381" s="162" t="s">
        <v>974</v>
      </c>
      <c r="B381" s="173" t="s">
        <v>975</v>
      </c>
      <c r="C381" s="169" t="s">
        <v>976</v>
      </c>
      <c r="D381" s="178">
        <v>1.147</v>
      </c>
    </row>
    <row r="382" spans="1:4" x14ac:dyDescent="0.3">
      <c r="A382" s="162" t="s">
        <v>977</v>
      </c>
      <c r="B382" s="173" t="s">
        <v>978</v>
      </c>
      <c r="C382" s="169" t="s">
        <v>963</v>
      </c>
      <c r="D382" s="178">
        <v>1.2529999999999999</v>
      </c>
    </row>
    <row r="383" spans="1:4" x14ac:dyDescent="0.3">
      <c r="A383" s="162" t="s">
        <v>979</v>
      </c>
      <c r="B383" s="173" t="s">
        <v>980</v>
      </c>
      <c r="C383" s="171" t="s">
        <v>981</v>
      </c>
      <c r="D383" s="178">
        <v>1.1399999999999999</v>
      </c>
    </row>
    <row r="384" spans="1:4" x14ac:dyDescent="0.3">
      <c r="A384" s="162" t="s">
        <v>982</v>
      </c>
      <c r="B384" s="173" t="s">
        <v>983</v>
      </c>
      <c r="C384" s="169" t="s">
        <v>963</v>
      </c>
      <c r="D384" s="178">
        <v>1.292</v>
      </c>
    </row>
    <row r="385" spans="1:4" x14ac:dyDescent="0.3">
      <c r="A385" s="162" t="s">
        <v>984</v>
      </c>
      <c r="B385" s="173" t="s">
        <v>985</v>
      </c>
      <c r="C385" s="169" t="s">
        <v>963</v>
      </c>
      <c r="D385" s="178">
        <v>3.1989999999999998</v>
      </c>
    </row>
    <row r="386" spans="1:4" x14ac:dyDescent="0.3">
      <c r="A386" s="162" t="s">
        <v>986</v>
      </c>
      <c r="B386" s="173" t="s">
        <v>1983</v>
      </c>
      <c r="C386" s="171" t="s">
        <v>452</v>
      </c>
      <c r="D386" s="178">
        <v>2.3450000000000002</v>
      </c>
    </row>
    <row r="387" spans="1:4" x14ac:dyDescent="0.3">
      <c r="A387" s="162" t="s">
        <v>988</v>
      </c>
      <c r="B387" s="173" t="s">
        <v>989</v>
      </c>
      <c r="C387" s="169" t="s">
        <v>963</v>
      </c>
      <c r="D387" s="178">
        <v>1.1439999999999999</v>
      </c>
    </row>
    <row r="388" spans="1:4" x14ac:dyDescent="0.3">
      <c r="A388" s="162" t="s">
        <v>990</v>
      </c>
      <c r="B388" s="173" t="s">
        <v>991</v>
      </c>
      <c r="C388" s="169" t="s">
        <v>963</v>
      </c>
      <c r="D388" s="178">
        <v>1.446</v>
      </c>
    </row>
    <row r="389" spans="1:4" x14ac:dyDescent="0.3">
      <c r="A389" s="162" t="s">
        <v>992</v>
      </c>
      <c r="B389" s="173" t="s">
        <v>993</v>
      </c>
      <c r="C389" s="169" t="s">
        <v>963</v>
      </c>
      <c r="D389" s="178">
        <v>1.1639999999999999</v>
      </c>
    </row>
    <row r="390" spans="1:4" x14ac:dyDescent="0.3">
      <c r="A390" s="162" t="s">
        <v>994</v>
      </c>
      <c r="B390" s="173" t="s">
        <v>995</v>
      </c>
      <c r="C390" s="169" t="s">
        <v>963</v>
      </c>
      <c r="D390" s="178">
        <v>1.536</v>
      </c>
    </row>
    <row r="391" spans="1:4" x14ac:dyDescent="0.3">
      <c r="A391" s="162" t="s">
        <v>996</v>
      </c>
      <c r="B391" s="173" t="s">
        <v>997</v>
      </c>
      <c r="C391" s="169" t="s">
        <v>963</v>
      </c>
      <c r="D391" s="178">
        <v>1.631</v>
      </c>
    </row>
    <row r="392" spans="1:4" x14ac:dyDescent="0.3">
      <c r="A392" s="162" t="s">
        <v>998</v>
      </c>
      <c r="B392" s="173" t="s">
        <v>999</v>
      </c>
      <c r="C392" s="169" t="s">
        <v>963</v>
      </c>
      <c r="D392" s="178">
        <v>3.5859999999999999</v>
      </c>
    </row>
    <row r="393" spans="1:4" x14ac:dyDescent="0.3">
      <c r="A393" s="162" t="s">
        <v>1000</v>
      </c>
      <c r="B393" s="173" t="s">
        <v>1001</v>
      </c>
      <c r="C393" s="169" t="s">
        <v>963</v>
      </c>
      <c r="D393" s="178">
        <v>2.2810000000000001</v>
      </c>
    </row>
    <row r="394" spans="1:4" x14ac:dyDescent="0.3">
      <c r="A394" s="162" t="s">
        <v>1002</v>
      </c>
      <c r="B394" s="173" t="s">
        <v>1003</v>
      </c>
      <c r="C394" s="169" t="s">
        <v>963</v>
      </c>
      <c r="D394" s="178">
        <v>1.4910000000000001</v>
      </c>
    </row>
    <row r="395" spans="1:4" x14ac:dyDescent="0.3">
      <c r="A395" s="162" t="s">
        <v>1004</v>
      </c>
      <c r="B395" s="173" t="s">
        <v>1005</v>
      </c>
      <c r="C395" s="169" t="s">
        <v>963</v>
      </c>
      <c r="D395" s="178">
        <v>3.3650000000000002</v>
      </c>
    </row>
    <row r="396" spans="1:4" x14ac:dyDescent="0.3">
      <c r="A396" s="162" t="s">
        <v>1006</v>
      </c>
      <c r="B396" s="173" t="s">
        <v>1007</v>
      </c>
      <c r="C396" s="169" t="s">
        <v>963</v>
      </c>
      <c r="D396" s="178">
        <v>4.7130000000000001</v>
      </c>
    </row>
    <row r="397" spans="1:4" x14ac:dyDescent="0.3">
      <c r="A397" s="162" t="s">
        <v>1581</v>
      </c>
      <c r="B397" s="173" t="s">
        <v>1582</v>
      </c>
      <c r="C397" s="169" t="s">
        <v>198</v>
      </c>
      <c r="D397" s="178">
        <v>4.2030000000000003</v>
      </c>
    </row>
    <row r="398" spans="1:4" x14ac:dyDescent="0.3">
      <c r="A398" s="162" t="s">
        <v>1952</v>
      </c>
      <c r="B398" s="173" t="s">
        <v>1953</v>
      </c>
      <c r="C398" s="169" t="s">
        <v>963</v>
      </c>
      <c r="D398" s="178">
        <v>2.1019999999999999</v>
      </c>
    </row>
    <row r="399" spans="1:4" x14ac:dyDescent="0.3">
      <c r="A399" s="162" t="s">
        <v>1008</v>
      </c>
      <c r="B399" s="173" t="s">
        <v>1009</v>
      </c>
      <c r="C399" s="169" t="s">
        <v>963</v>
      </c>
      <c r="D399" s="178">
        <v>2.1680000000000001</v>
      </c>
    </row>
    <row r="400" spans="1:4" x14ac:dyDescent="0.3">
      <c r="A400" s="162" t="s">
        <v>1010</v>
      </c>
      <c r="B400" s="173" t="s">
        <v>1011</v>
      </c>
      <c r="C400" s="169" t="s">
        <v>963</v>
      </c>
      <c r="D400" s="178">
        <v>1.9870000000000001</v>
      </c>
    </row>
    <row r="401" spans="1:4" x14ac:dyDescent="0.3">
      <c r="A401" s="162" t="s">
        <v>1012</v>
      </c>
      <c r="B401" s="173" t="s">
        <v>1583</v>
      </c>
      <c r="C401" s="169" t="s">
        <v>963</v>
      </c>
      <c r="D401" s="178">
        <v>2.1629999999999998</v>
      </c>
    </row>
    <row r="402" spans="1:4" x14ac:dyDescent="0.3">
      <c r="A402" s="162" t="s">
        <v>1014</v>
      </c>
      <c r="B402" s="173" t="s">
        <v>1015</v>
      </c>
      <c r="C402" s="169" t="s">
        <v>963</v>
      </c>
      <c r="D402" s="178">
        <v>1.2689999999999999</v>
      </c>
    </row>
    <row r="403" spans="1:4" x14ac:dyDescent="0.3">
      <c r="A403" s="162" t="s">
        <v>1016</v>
      </c>
      <c r="B403" s="173" t="s">
        <v>1584</v>
      </c>
      <c r="C403" s="169" t="s">
        <v>963</v>
      </c>
      <c r="D403" s="178">
        <v>1.389</v>
      </c>
    </row>
    <row r="404" spans="1:4" x14ac:dyDescent="0.3">
      <c r="A404" s="162" t="s">
        <v>1018</v>
      </c>
      <c r="B404" s="173" t="s">
        <v>1019</v>
      </c>
      <c r="C404" s="169" t="s">
        <v>963</v>
      </c>
      <c r="D404" s="178">
        <v>1.272</v>
      </c>
    </row>
    <row r="405" spans="1:4" x14ac:dyDescent="0.3">
      <c r="A405" s="162" t="s">
        <v>1984</v>
      </c>
      <c r="B405" s="173" t="s">
        <v>1985</v>
      </c>
      <c r="C405" s="169" t="s">
        <v>452</v>
      </c>
      <c r="D405" s="178">
        <v>1.9690000000000001</v>
      </c>
    </row>
    <row r="406" spans="1:4" x14ac:dyDescent="0.3">
      <c r="A406" s="162" t="s">
        <v>1020</v>
      </c>
      <c r="B406" s="173" t="s">
        <v>1021</v>
      </c>
      <c r="C406" s="169" t="s">
        <v>1022</v>
      </c>
      <c r="D406" s="178">
        <v>392.08600000000001</v>
      </c>
    </row>
    <row r="407" spans="1:4" x14ac:dyDescent="0.3">
      <c r="A407" s="162" t="s">
        <v>1023</v>
      </c>
      <c r="B407" s="173" t="s">
        <v>1585</v>
      </c>
      <c r="C407" s="169" t="s">
        <v>318</v>
      </c>
      <c r="D407" s="178">
        <v>332.60899999999998</v>
      </c>
    </row>
    <row r="408" spans="1:4" x14ac:dyDescent="0.3">
      <c r="A408" s="162" t="s">
        <v>1026</v>
      </c>
      <c r="B408" s="173" t="s">
        <v>1027</v>
      </c>
      <c r="C408" s="169" t="s">
        <v>273</v>
      </c>
      <c r="D408" s="178">
        <v>200.09700000000001</v>
      </c>
    </row>
    <row r="409" spans="1:4" x14ac:dyDescent="0.3">
      <c r="A409" s="163" t="s">
        <v>1028</v>
      </c>
      <c r="B409" s="173" t="s">
        <v>1586</v>
      </c>
      <c r="C409" s="173" t="s">
        <v>318</v>
      </c>
      <c r="D409" s="178">
        <v>490.947</v>
      </c>
    </row>
    <row r="410" spans="1:4" x14ac:dyDescent="0.3">
      <c r="A410" s="162" t="s">
        <v>1625</v>
      </c>
      <c r="B410" s="173" t="s">
        <v>1626</v>
      </c>
      <c r="C410" s="169" t="s">
        <v>318</v>
      </c>
      <c r="D410" s="178">
        <v>518.13599999999997</v>
      </c>
    </row>
    <row r="411" spans="1:4" x14ac:dyDescent="0.3">
      <c r="A411" s="162" t="s">
        <v>2110</v>
      </c>
      <c r="B411" s="173" t="s">
        <v>2111</v>
      </c>
      <c r="C411" s="169" t="s">
        <v>198</v>
      </c>
      <c r="D411" s="178">
        <v>10.355</v>
      </c>
    </row>
    <row r="412" spans="1:4" x14ac:dyDescent="0.3">
      <c r="A412" s="162" t="s">
        <v>2112</v>
      </c>
      <c r="B412" s="173" t="s">
        <v>2113</v>
      </c>
      <c r="C412" s="169" t="s">
        <v>198</v>
      </c>
      <c r="D412" s="178">
        <v>6.75</v>
      </c>
    </row>
    <row r="413" spans="1:4" x14ac:dyDescent="0.3">
      <c r="A413" s="162" t="s">
        <v>1033</v>
      </c>
      <c r="B413" s="173" t="s">
        <v>1034</v>
      </c>
      <c r="C413" s="169" t="s">
        <v>1035</v>
      </c>
      <c r="D413" s="178">
        <v>76.088999999999999</v>
      </c>
    </row>
    <row r="414" spans="1:4" x14ac:dyDescent="0.3">
      <c r="A414" s="162" t="s">
        <v>2114</v>
      </c>
      <c r="B414" s="173" t="s">
        <v>2115</v>
      </c>
      <c r="C414" s="169" t="s">
        <v>198</v>
      </c>
      <c r="D414" s="178">
        <v>15.708</v>
      </c>
    </row>
    <row r="415" spans="1:4" x14ac:dyDescent="0.3">
      <c r="A415" s="162" t="s">
        <v>1036</v>
      </c>
      <c r="B415" s="173" t="s">
        <v>1037</v>
      </c>
      <c r="C415" s="169" t="s">
        <v>1035</v>
      </c>
      <c r="D415" s="178">
        <v>131.03299999999999</v>
      </c>
    </row>
    <row r="416" spans="1:4" x14ac:dyDescent="0.3">
      <c r="A416" s="162" t="s">
        <v>1587</v>
      </c>
      <c r="B416" s="173" t="s">
        <v>1588</v>
      </c>
      <c r="C416" s="169" t="s">
        <v>1589</v>
      </c>
      <c r="D416" s="178">
        <v>131.88200000000001</v>
      </c>
    </row>
    <row r="417" spans="1:4" x14ac:dyDescent="0.3">
      <c r="A417" s="162" t="s">
        <v>1038</v>
      </c>
      <c r="B417" s="173" t="s">
        <v>1039</v>
      </c>
      <c r="C417" s="169" t="s">
        <v>198</v>
      </c>
      <c r="D417" s="178">
        <v>9.7710000000000008</v>
      </c>
    </row>
    <row r="418" spans="1:4" x14ac:dyDescent="0.3">
      <c r="A418" s="162" t="s">
        <v>2116</v>
      </c>
      <c r="B418" s="173" t="s">
        <v>2117</v>
      </c>
      <c r="C418" s="169" t="s">
        <v>1035</v>
      </c>
      <c r="D418" s="178">
        <v>488.08800000000002</v>
      </c>
    </row>
    <row r="419" spans="1:4" x14ac:dyDescent="0.3">
      <c r="A419" s="162" t="s">
        <v>1590</v>
      </c>
      <c r="B419" s="173" t="s">
        <v>1591</v>
      </c>
      <c r="C419" s="169" t="s">
        <v>1589</v>
      </c>
      <c r="D419" s="178">
        <v>754.90300000000002</v>
      </c>
    </row>
    <row r="420" spans="1:4" x14ac:dyDescent="0.3">
      <c r="A420" s="162" t="s">
        <v>2118</v>
      </c>
      <c r="B420" s="173" t="s">
        <v>2119</v>
      </c>
      <c r="C420" s="169" t="s">
        <v>273</v>
      </c>
      <c r="D420" s="178">
        <v>1.284</v>
      </c>
    </row>
    <row r="421" spans="1:4" x14ac:dyDescent="0.3">
      <c r="A421" s="162" t="s">
        <v>2120</v>
      </c>
      <c r="B421" s="173" t="s">
        <v>2121</v>
      </c>
      <c r="C421" s="169" t="s">
        <v>198</v>
      </c>
      <c r="D421" s="178">
        <v>13.308999999999999</v>
      </c>
    </row>
    <row r="422" spans="1:4" x14ac:dyDescent="0.3">
      <c r="A422" s="162" t="s">
        <v>2122</v>
      </c>
      <c r="B422" s="173" t="s">
        <v>2123</v>
      </c>
      <c r="C422" s="169" t="s">
        <v>198</v>
      </c>
      <c r="D422" s="178">
        <v>9.8089999999999993</v>
      </c>
    </row>
    <row r="423" spans="1:4" x14ac:dyDescent="0.3">
      <c r="A423" s="162" t="s">
        <v>1040</v>
      </c>
      <c r="B423" s="173" t="s">
        <v>1041</v>
      </c>
      <c r="C423" s="169" t="s">
        <v>1042</v>
      </c>
      <c r="D423" s="178">
        <v>3.242</v>
      </c>
    </row>
    <row r="424" spans="1:4" x14ac:dyDescent="0.3">
      <c r="A424" s="162" t="s">
        <v>1043</v>
      </c>
      <c r="B424" s="173" t="s">
        <v>1044</v>
      </c>
      <c r="C424" s="169" t="s">
        <v>1045</v>
      </c>
      <c r="D424" s="178">
        <v>211.501</v>
      </c>
    </row>
    <row r="425" spans="1:4" x14ac:dyDescent="0.3">
      <c r="A425" s="162" t="s">
        <v>1627</v>
      </c>
      <c r="B425" s="173" t="s">
        <v>1628</v>
      </c>
      <c r="C425" s="169" t="s">
        <v>762</v>
      </c>
      <c r="D425" s="178">
        <v>29.98</v>
      </c>
    </row>
    <row r="426" spans="1:4" x14ac:dyDescent="0.3">
      <c r="A426" s="163" t="s">
        <v>1046</v>
      </c>
      <c r="B426" s="173" t="s">
        <v>1047</v>
      </c>
      <c r="C426" s="173" t="s">
        <v>199</v>
      </c>
      <c r="D426" s="178">
        <v>1.579</v>
      </c>
    </row>
    <row r="427" spans="1:4" x14ac:dyDescent="0.3">
      <c r="A427" s="162" t="s">
        <v>1958</v>
      </c>
      <c r="B427" s="173" t="s">
        <v>1959</v>
      </c>
      <c r="C427" s="169" t="s">
        <v>452</v>
      </c>
      <c r="D427" s="178">
        <v>206.40199999999999</v>
      </c>
    </row>
    <row r="428" spans="1:4" x14ac:dyDescent="0.3">
      <c r="A428" s="162" t="s">
        <v>1986</v>
      </c>
      <c r="B428" s="173" t="s">
        <v>1987</v>
      </c>
      <c r="C428" s="169" t="s">
        <v>834</v>
      </c>
      <c r="D428" s="178">
        <v>10.93</v>
      </c>
    </row>
    <row r="429" spans="1:4" x14ac:dyDescent="0.3">
      <c r="A429" s="162" t="s">
        <v>1048</v>
      </c>
      <c r="B429" s="173" t="s">
        <v>1049</v>
      </c>
      <c r="C429" s="169" t="s">
        <v>209</v>
      </c>
      <c r="D429" s="178">
        <v>9.1449999999999996</v>
      </c>
    </row>
    <row r="430" spans="1:4" x14ac:dyDescent="0.3">
      <c r="A430" s="162" t="s">
        <v>1050</v>
      </c>
      <c r="B430" s="173" t="s">
        <v>1051</v>
      </c>
      <c r="C430" s="169" t="s">
        <v>257</v>
      </c>
      <c r="D430" s="178">
        <v>2.1309999999999998</v>
      </c>
    </row>
    <row r="431" spans="1:4" x14ac:dyDescent="0.3">
      <c r="A431" s="163" t="s">
        <v>1052</v>
      </c>
      <c r="B431" s="173" t="s">
        <v>1053</v>
      </c>
      <c r="C431" s="173" t="s">
        <v>458</v>
      </c>
      <c r="D431" s="178">
        <v>1.5609999999999999</v>
      </c>
    </row>
    <row r="432" spans="1:4" x14ac:dyDescent="0.3">
      <c r="A432" s="162" t="s">
        <v>1054</v>
      </c>
      <c r="B432" s="173" t="s">
        <v>1055</v>
      </c>
      <c r="C432" s="169" t="s">
        <v>295</v>
      </c>
      <c r="D432" s="178">
        <v>2898.297</v>
      </c>
    </row>
    <row r="433" spans="1:4" x14ac:dyDescent="0.3">
      <c r="A433" s="162" t="s">
        <v>1056</v>
      </c>
      <c r="B433" s="173" t="s">
        <v>1057</v>
      </c>
      <c r="C433" s="169" t="s">
        <v>198</v>
      </c>
      <c r="D433" s="178">
        <v>0.375</v>
      </c>
    </row>
    <row r="434" spans="1:4" x14ac:dyDescent="0.3">
      <c r="A434" s="163" t="s">
        <v>1058</v>
      </c>
      <c r="B434" s="173" t="s">
        <v>1059</v>
      </c>
      <c r="C434" s="173" t="s">
        <v>273</v>
      </c>
      <c r="D434" s="178">
        <v>0.52</v>
      </c>
    </row>
    <row r="435" spans="1:4" x14ac:dyDescent="0.3">
      <c r="A435" s="162" t="s">
        <v>1060</v>
      </c>
      <c r="B435" s="173" t="s">
        <v>1061</v>
      </c>
      <c r="C435" s="169" t="s">
        <v>513</v>
      </c>
      <c r="D435" s="178">
        <v>0.27500000000000002</v>
      </c>
    </row>
    <row r="436" spans="1:4" x14ac:dyDescent="0.3">
      <c r="A436" s="162" t="s">
        <v>1062</v>
      </c>
      <c r="B436" s="173" t="s">
        <v>1063</v>
      </c>
      <c r="C436" s="169" t="s">
        <v>200</v>
      </c>
      <c r="D436" s="178">
        <v>0.23400000000000001</v>
      </c>
    </row>
    <row r="437" spans="1:4" x14ac:dyDescent="0.3">
      <c r="A437" s="162" t="s">
        <v>1064</v>
      </c>
      <c r="B437" s="173" t="s">
        <v>1065</v>
      </c>
      <c r="C437" s="169" t="s">
        <v>553</v>
      </c>
      <c r="D437" s="178">
        <v>896.70799999999997</v>
      </c>
    </row>
    <row r="438" spans="1:4" x14ac:dyDescent="0.3">
      <c r="A438" s="162" t="s">
        <v>1066</v>
      </c>
      <c r="B438" s="173" t="s">
        <v>1067</v>
      </c>
      <c r="C438" s="169" t="s">
        <v>198</v>
      </c>
      <c r="D438" s="178">
        <v>1.4E-2</v>
      </c>
    </row>
    <row r="439" spans="1:4" x14ac:dyDescent="0.3">
      <c r="A439" s="162" t="s">
        <v>1068</v>
      </c>
      <c r="B439" s="173" t="s">
        <v>1069</v>
      </c>
      <c r="C439" s="169" t="s">
        <v>553</v>
      </c>
      <c r="D439" s="178">
        <v>0.77800000000000002</v>
      </c>
    </row>
    <row r="440" spans="1:4" x14ac:dyDescent="0.3">
      <c r="A440" s="162" t="s">
        <v>1070</v>
      </c>
      <c r="B440" s="173" t="s">
        <v>1071</v>
      </c>
      <c r="C440" s="169" t="s">
        <v>295</v>
      </c>
      <c r="D440" s="178">
        <v>62.427999999999997</v>
      </c>
    </row>
    <row r="441" spans="1:4" x14ac:dyDescent="0.3">
      <c r="A441" s="162" t="s">
        <v>1072</v>
      </c>
      <c r="B441" s="173" t="s">
        <v>1073</v>
      </c>
      <c r="C441" s="169" t="s">
        <v>295</v>
      </c>
      <c r="D441" s="178">
        <v>0.23100000000000001</v>
      </c>
    </row>
    <row r="442" spans="1:4" x14ac:dyDescent="0.3">
      <c r="A442" s="162" t="s">
        <v>1074</v>
      </c>
      <c r="B442" s="173" t="s">
        <v>1075</v>
      </c>
      <c r="C442" s="169" t="s">
        <v>1076</v>
      </c>
      <c r="D442" s="178">
        <v>1.1830000000000001</v>
      </c>
    </row>
    <row r="443" spans="1:4" x14ac:dyDescent="0.3">
      <c r="A443" s="162" t="s">
        <v>1077</v>
      </c>
      <c r="B443" s="173" t="s">
        <v>1078</v>
      </c>
      <c r="C443" s="169" t="s">
        <v>198</v>
      </c>
      <c r="D443" s="178">
        <v>2.2149999999999999</v>
      </c>
    </row>
    <row r="444" spans="1:4" x14ac:dyDescent="0.3">
      <c r="A444" s="162" t="s">
        <v>1079</v>
      </c>
      <c r="B444" s="173" t="s">
        <v>1080</v>
      </c>
      <c r="C444" s="169" t="s">
        <v>200</v>
      </c>
      <c r="D444" s="178">
        <v>231.22300000000001</v>
      </c>
    </row>
    <row r="445" spans="1:4" x14ac:dyDescent="0.3">
      <c r="A445" s="162" t="s">
        <v>1081</v>
      </c>
      <c r="B445" s="173" t="s">
        <v>1082</v>
      </c>
      <c r="C445" s="169" t="s">
        <v>458</v>
      </c>
      <c r="D445" s="178">
        <v>4.7119999999999997</v>
      </c>
    </row>
    <row r="446" spans="1:4" x14ac:dyDescent="0.3">
      <c r="A446" s="162" t="s">
        <v>1083</v>
      </c>
      <c r="B446" s="173" t="s">
        <v>1084</v>
      </c>
      <c r="C446" s="169" t="s">
        <v>1085</v>
      </c>
      <c r="D446" s="178">
        <v>5.0910000000000002</v>
      </c>
    </row>
    <row r="447" spans="1:4" x14ac:dyDescent="0.3">
      <c r="A447" s="162" t="s">
        <v>1086</v>
      </c>
      <c r="B447" s="173" t="s">
        <v>1087</v>
      </c>
      <c r="C447" s="169" t="s">
        <v>239</v>
      </c>
      <c r="D447" s="178">
        <v>7.7910000000000004</v>
      </c>
    </row>
    <row r="448" spans="1:4" x14ac:dyDescent="0.3">
      <c r="A448" s="162" t="s">
        <v>1088</v>
      </c>
      <c r="B448" s="173" t="s">
        <v>1089</v>
      </c>
      <c r="C448" s="169" t="s">
        <v>405</v>
      </c>
      <c r="D448" s="178">
        <v>6.03</v>
      </c>
    </row>
    <row r="449" spans="1:4" x14ac:dyDescent="0.3">
      <c r="A449" s="162" t="s">
        <v>1090</v>
      </c>
      <c r="B449" s="173" t="s">
        <v>1091</v>
      </c>
      <c r="C449" s="169" t="s">
        <v>198</v>
      </c>
      <c r="D449" s="178">
        <v>0.219</v>
      </c>
    </row>
    <row r="450" spans="1:4" x14ac:dyDescent="0.3">
      <c r="A450" s="162" t="s">
        <v>1092</v>
      </c>
      <c r="B450" s="173" t="s">
        <v>1093</v>
      </c>
      <c r="C450" s="169" t="s">
        <v>396</v>
      </c>
      <c r="D450" s="178">
        <v>0.26700000000000002</v>
      </c>
    </row>
    <row r="451" spans="1:4" x14ac:dyDescent="0.3">
      <c r="A451" s="162" t="s">
        <v>1094</v>
      </c>
      <c r="B451" s="173" t="s">
        <v>1095</v>
      </c>
      <c r="C451" s="169" t="s">
        <v>198</v>
      </c>
      <c r="D451" s="178">
        <v>4.9000000000000002E-2</v>
      </c>
    </row>
    <row r="452" spans="1:4" x14ac:dyDescent="0.3">
      <c r="A452" s="162" t="s">
        <v>1096</v>
      </c>
      <c r="B452" s="173" t="s">
        <v>1097</v>
      </c>
      <c r="C452" s="169" t="s">
        <v>396</v>
      </c>
      <c r="D452" s="178">
        <v>6.4000000000000001E-2</v>
      </c>
    </row>
    <row r="453" spans="1:4" x14ac:dyDescent="0.3">
      <c r="A453" s="162" t="s">
        <v>1098</v>
      </c>
      <c r="B453" s="173" t="s">
        <v>1099</v>
      </c>
      <c r="C453" s="169" t="s">
        <v>1100</v>
      </c>
      <c r="D453" s="178">
        <v>0.13</v>
      </c>
    </row>
    <row r="454" spans="1:4" x14ac:dyDescent="0.3">
      <c r="A454" s="162" t="s">
        <v>1101</v>
      </c>
      <c r="B454" s="173" t="s">
        <v>1102</v>
      </c>
      <c r="C454" s="169" t="s">
        <v>396</v>
      </c>
      <c r="D454" s="178">
        <v>1.044</v>
      </c>
    </row>
    <row r="455" spans="1:4" x14ac:dyDescent="0.3">
      <c r="A455" s="162" t="s">
        <v>1103</v>
      </c>
      <c r="B455" s="173" t="s">
        <v>1104</v>
      </c>
      <c r="C455" s="169" t="s">
        <v>199</v>
      </c>
      <c r="D455" s="178">
        <v>1.2569999999999999</v>
      </c>
    </row>
    <row r="456" spans="1:4" x14ac:dyDescent="0.3">
      <c r="A456" s="162" t="s">
        <v>1105</v>
      </c>
      <c r="B456" s="173" t="s">
        <v>1106</v>
      </c>
      <c r="C456" s="169" t="s">
        <v>198</v>
      </c>
      <c r="D456" s="178">
        <v>47.808999999999997</v>
      </c>
    </row>
    <row r="457" spans="1:4" x14ac:dyDescent="0.3">
      <c r="A457" s="162" t="s">
        <v>1107</v>
      </c>
      <c r="B457" s="173" t="s">
        <v>1108</v>
      </c>
      <c r="C457" s="169" t="s">
        <v>198</v>
      </c>
      <c r="D457" s="178">
        <v>0.2</v>
      </c>
    </row>
    <row r="458" spans="1:4" x14ac:dyDescent="0.3">
      <c r="A458" s="162" t="s">
        <v>1109</v>
      </c>
      <c r="B458" s="173" t="s">
        <v>1110</v>
      </c>
      <c r="C458" s="169" t="s">
        <v>198</v>
      </c>
      <c r="D458" s="178">
        <v>0.81</v>
      </c>
    </row>
    <row r="459" spans="1:4" x14ac:dyDescent="0.3">
      <c r="A459" s="162" t="s">
        <v>1629</v>
      </c>
      <c r="B459" s="173" t="s">
        <v>1630</v>
      </c>
      <c r="C459" s="169" t="s">
        <v>452</v>
      </c>
      <c r="D459" s="178">
        <v>0.188</v>
      </c>
    </row>
    <row r="460" spans="1:4" x14ac:dyDescent="0.3">
      <c r="A460" s="162" t="s">
        <v>1111</v>
      </c>
      <c r="B460" s="173" t="s">
        <v>1112</v>
      </c>
      <c r="C460" s="169" t="s">
        <v>683</v>
      </c>
      <c r="D460" s="178">
        <v>27.774000000000001</v>
      </c>
    </row>
    <row r="461" spans="1:4" x14ac:dyDescent="0.3">
      <c r="A461" s="162" t="s">
        <v>1113</v>
      </c>
      <c r="B461" s="173" t="s">
        <v>1114</v>
      </c>
      <c r="C461" s="169" t="s">
        <v>1115</v>
      </c>
      <c r="D461" s="178">
        <v>704.63400000000001</v>
      </c>
    </row>
    <row r="462" spans="1:4" x14ac:dyDescent="0.3">
      <c r="A462" s="162" t="s">
        <v>1116</v>
      </c>
      <c r="B462" s="173" t="s">
        <v>1117</v>
      </c>
      <c r="C462" s="169" t="s">
        <v>200</v>
      </c>
      <c r="D462" s="178">
        <v>3.7010000000000001</v>
      </c>
    </row>
    <row r="463" spans="1:4" x14ac:dyDescent="0.3">
      <c r="A463" s="162" t="s">
        <v>1120</v>
      </c>
      <c r="B463" s="173" t="s">
        <v>1121</v>
      </c>
      <c r="C463" s="169" t="s">
        <v>445</v>
      </c>
      <c r="D463" s="178">
        <v>0.45</v>
      </c>
    </row>
    <row r="464" spans="1:4" x14ac:dyDescent="0.3">
      <c r="A464" s="162" t="s">
        <v>1122</v>
      </c>
      <c r="B464" s="173" t="s">
        <v>1123</v>
      </c>
      <c r="C464" s="169" t="s">
        <v>284</v>
      </c>
      <c r="D464" s="178">
        <v>0.80500000000000005</v>
      </c>
    </row>
    <row r="465" spans="1:4" x14ac:dyDescent="0.3">
      <c r="A465" s="162" t="s">
        <v>1124</v>
      </c>
      <c r="B465" s="173" t="s">
        <v>1125</v>
      </c>
      <c r="C465" s="169" t="s">
        <v>553</v>
      </c>
      <c r="D465" s="178">
        <v>0.755</v>
      </c>
    </row>
    <row r="466" spans="1:4" x14ac:dyDescent="0.3">
      <c r="A466" s="162" t="s">
        <v>1126</v>
      </c>
      <c r="B466" s="173" t="s">
        <v>1127</v>
      </c>
      <c r="C466" s="169" t="s">
        <v>458</v>
      </c>
      <c r="D466" s="178">
        <v>0.1</v>
      </c>
    </row>
    <row r="467" spans="1:4" x14ac:dyDescent="0.3">
      <c r="A467" s="162" t="s">
        <v>1128</v>
      </c>
      <c r="B467" s="173" t="s">
        <v>1129</v>
      </c>
      <c r="C467" s="169" t="s">
        <v>209</v>
      </c>
      <c r="D467" s="178">
        <v>76.093999999999994</v>
      </c>
    </row>
    <row r="468" spans="1:4" x14ac:dyDescent="0.3">
      <c r="A468" s="162" t="s">
        <v>1132</v>
      </c>
      <c r="B468" s="173" t="s">
        <v>1133</v>
      </c>
      <c r="C468" s="169" t="s">
        <v>1134</v>
      </c>
      <c r="D468" s="178">
        <v>0.187</v>
      </c>
    </row>
    <row r="469" spans="1:4" x14ac:dyDescent="0.3">
      <c r="A469" s="163" t="s">
        <v>1135</v>
      </c>
      <c r="B469" s="173" t="s">
        <v>1136</v>
      </c>
      <c r="C469" s="173" t="s">
        <v>396</v>
      </c>
      <c r="D469" s="178">
        <v>379.06</v>
      </c>
    </row>
    <row r="470" spans="1:4" x14ac:dyDescent="0.3">
      <c r="A470" s="162" t="s">
        <v>1137</v>
      </c>
      <c r="B470" s="173" t="s">
        <v>1138</v>
      </c>
      <c r="C470" s="169" t="s">
        <v>198</v>
      </c>
      <c r="D470" s="178">
        <v>1.7569999999999999</v>
      </c>
    </row>
    <row r="471" spans="1:4" x14ac:dyDescent="0.3">
      <c r="A471" s="162" t="s">
        <v>1139</v>
      </c>
      <c r="B471" s="173" t="s">
        <v>1140</v>
      </c>
      <c r="C471" s="169" t="s">
        <v>200</v>
      </c>
      <c r="D471" s="178">
        <v>0.255</v>
      </c>
    </row>
    <row r="472" spans="1:4" x14ac:dyDescent="0.3">
      <c r="A472" s="162" t="s">
        <v>1141</v>
      </c>
      <c r="B472" s="173" t="s">
        <v>1142</v>
      </c>
      <c r="C472" s="169" t="s">
        <v>1143</v>
      </c>
      <c r="D472" s="178">
        <v>104.358</v>
      </c>
    </row>
    <row r="473" spans="1:4" x14ac:dyDescent="0.3">
      <c r="A473" s="162" t="s">
        <v>1144</v>
      </c>
      <c r="B473" s="173" t="s">
        <v>1145</v>
      </c>
      <c r="C473" s="169" t="s">
        <v>199</v>
      </c>
      <c r="D473" s="178">
        <v>2.5110000000000001</v>
      </c>
    </row>
    <row r="474" spans="1:4" x14ac:dyDescent="0.3">
      <c r="A474" s="162" t="s">
        <v>1146</v>
      </c>
      <c r="B474" s="173" t="s">
        <v>1147</v>
      </c>
      <c r="C474" s="169" t="s">
        <v>198</v>
      </c>
      <c r="D474" s="178">
        <v>12.334</v>
      </c>
    </row>
    <row r="475" spans="1:4" x14ac:dyDescent="0.3">
      <c r="A475" s="162" t="s">
        <v>1148</v>
      </c>
      <c r="B475" s="173" t="s">
        <v>1149</v>
      </c>
      <c r="C475" s="169" t="s">
        <v>1150</v>
      </c>
      <c r="D475" s="178">
        <v>427.26900000000001</v>
      </c>
    </row>
    <row r="476" spans="1:4" x14ac:dyDescent="0.3">
      <c r="A476" s="162" t="s">
        <v>2099</v>
      </c>
      <c r="B476" s="173" t="s">
        <v>2100</v>
      </c>
      <c r="C476" s="169" t="s">
        <v>273</v>
      </c>
      <c r="D476" s="178">
        <v>46.533999999999999</v>
      </c>
    </row>
    <row r="477" spans="1:4" x14ac:dyDescent="0.3">
      <c r="A477" s="162" t="s">
        <v>1151</v>
      </c>
      <c r="B477" s="173" t="s">
        <v>1152</v>
      </c>
      <c r="C477" s="169" t="s">
        <v>199</v>
      </c>
      <c r="D477" s="178">
        <v>82.269000000000005</v>
      </c>
    </row>
    <row r="478" spans="1:4" x14ac:dyDescent="0.3">
      <c r="A478" s="162" t="s">
        <v>1153</v>
      </c>
      <c r="B478" s="173" t="s">
        <v>1154</v>
      </c>
      <c r="C478" s="169" t="s">
        <v>199</v>
      </c>
      <c r="D478" s="178">
        <v>88.376000000000005</v>
      </c>
    </row>
    <row r="479" spans="1:4" x14ac:dyDescent="0.3">
      <c r="A479" s="162" t="s">
        <v>1155</v>
      </c>
      <c r="B479" s="173" t="s">
        <v>1156</v>
      </c>
      <c r="C479" s="169" t="s">
        <v>198</v>
      </c>
      <c r="D479" s="178">
        <v>0.67</v>
      </c>
    </row>
    <row r="480" spans="1:4" x14ac:dyDescent="0.3">
      <c r="A480" s="162" t="s">
        <v>1157</v>
      </c>
      <c r="B480" s="173" t="s">
        <v>1158</v>
      </c>
      <c r="C480" s="169" t="s">
        <v>198</v>
      </c>
      <c r="D480" s="178">
        <v>48.395000000000003</v>
      </c>
    </row>
    <row r="481" spans="1:4" x14ac:dyDescent="0.3">
      <c r="A481" s="162" t="s">
        <v>1159</v>
      </c>
      <c r="B481" s="173" t="s">
        <v>1160</v>
      </c>
      <c r="C481" s="169" t="s">
        <v>198</v>
      </c>
      <c r="D481" s="178">
        <v>2.8330000000000002</v>
      </c>
    </row>
    <row r="482" spans="1:4" x14ac:dyDescent="0.3">
      <c r="A482" s="163" t="s">
        <v>1161</v>
      </c>
      <c r="B482" s="173" t="s">
        <v>1162</v>
      </c>
      <c r="C482" s="173" t="s">
        <v>199</v>
      </c>
      <c r="D482" s="178">
        <v>44.359000000000002</v>
      </c>
    </row>
    <row r="483" spans="1:4" x14ac:dyDescent="0.3">
      <c r="A483" s="162" t="s">
        <v>1163</v>
      </c>
      <c r="B483" s="173" t="s">
        <v>1164</v>
      </c>
      <c r="C483" s="169" t="s">
        <v>198</v>
      </c>
      <c r="D483" s="178">
        <v>17.7</v>
      </c>
    </row>
    <row r="484" spans="1:4" x14ac:dyDescent="0.3">
      <c r="A484" s="162" t="s">
        <v>1165</v>
      </c>
      <c r="B484" s="173" t="s">
        <v>1166</v>
      </c>
      <c r="C484" s="169" t="s">
        <v>198</v>
      </c>
      <c r="D484" s="178">
        <v>17.843</v>
      </c>
    </row>
    <row r="485" spans="1:4" x14ac:dyDescent="0.3">
      <c r="A485" s="162" t="s">
        <v>1167</v>
      </c>
      <c r="B485" s="173" t="s">
        <v>1168</v>
      </c>
      <c r="C485" s="169" t="s">
        <v>199</v>
      </c>
      <c r="D485" s="178">
        <v>69.224999999999994</v>
      </c>
    </row>
    <row r="486" spans="1:4" x14ac:dyDescent="0.3">
      <c r="A486" s="162" t="s">
        <v>1169</v>
      </c>
      <c r="B486" s="173" t="s">
        <v>1170</v>
      </c>
      <c r="C486" s="169" t="s">
        <v>198</v>
      </c>
      <c r="D486" s="178">
        <v>19.373999999999999</v>
      </c>
    </row>
    <row r="487" spans="1:4" x14ac:dyDescent="0.3">
      <c r="A487" s="162" t="s">
        <v>1988</v>
      </c>
      <c r="B487" s="173" t="s">
        <v>2024</v>
      </c>
      <c r="C487" s="169" t="s">
        <v>396</v>
      </c>
      <c r="D487" s="178">
        <v>44.134</v>
      </c>
    </row>
    <row r="488" spans="1:4" x14ac:dyDescent="0.3">
      <c r="A488" s="162" t="s">
        <v>1171</v>
      </c>
      <c r="B488" s="173" t="s">
        <v>1172</v>
      </c>
      <c r="C488" s="169" t="s">
        <v>452</v>
      </c>
      <c r="D488" s="178">
        <v>129.822</v>
      </c>
    </row>
    <row r="489" spans="1:4" x14ac:dyDescent="0.3">
      <c r="A489" s="162" t="s">
        <v>1173</v>
      </c>
      <c r="B489" s="173" t="s">
        <v>1174</v>
      </c>
      <c r="C489" s="169" t="s">
        <v>1175</v>
      </c>
      <c r="D489" s="178">
        <v>24.117000000000001</v>
      </c>
    </row>
    <row r="490" spans="1:4" x14ac:dyDescent="0.3">
      <c r="A490" s="162" t="s">
        <v>1176</v>
      </c>
      <c r="B490" s="173" t="s">
        <v>1177</v>
      </c>
      <c r="C490" s="169" t="s">
        <v>273</v>
      </c>
      <c r="D490" s="178">
        <v>44.009</v>
      </c>
    </row>
    <row r="491" spans="1:4" x14ac:dyDescent="0.3">
      <c r="A491" s="162" t="s">
        <v>1178</v>
      </c>
      <c r="B491" s="173" t="s">
        <v>1179</v>
      </c>
      <c r="C491" s="169" t="s">
        <v>198</v>
      </c>
      <c r="D491" s="178">
        <v>205.56399999999999</v>
      </c>
    </row>
    <row r="492" spans="1:4" x14ac:dyDescent="0.3">
      <c r="A492" s="162" t="s">
        <v>1180</v>
      </c>
      <c r="B492" s="173" t="s">
        <v>1181</v>
      </c>
      <c r="C492" s="169" t="s">
        <v>198</v>
      </c>
      <c r="D492" s="178">
        <v>196.60599999999999</v>
      </c>
    </row>
    <row r="493" spans="1:4" x14ac:dyDescent="0.3">
      <c r="A493" s="163" t="s">
        <v>1182</v>
      </c>
      <c r="B493" s="173" t="s">
        <v>1183</v>
      </c>
      <c r="C493" s="173" t="s">
        <v>273</v>
      </c>
      <c r="D493" s="178">
        <v>14.866</v>
      </c>
    </row>
    <row r="494" spans="1:4" x14ac:dyDescent="0.3">
      <c r="A494" s="162" t="s">
        <v>1184</v>
      </c>
      <c r="B494" s="173" t="s">
        <v>1185</v>
      </c>
      <c r="C494" s="169" t="s">
        <v>209</v>
      </c>
      <c r="D494" s="178">
        <v>2.9220000000000002</v>
      </c>
    </row>
    <row r="495" spans="1:4" x14ac:dyDescent="0.3">
      <c r="A495" s="163" t="s">
        <v>1186</v>
      </c>
      <c r="B495" s="173" t="s">
        <v>1187</v>
      </c>
      <c r="C495" s="173" t="s">
        <v>198</v>
      </c>
      <c r="D495" s="178">
        <v>43.241999999999997</v>
      </c>
    </row>
    <row r="496" spans="1:4" x14ac:dyDescent="0.3">
      <c r="A496" s="162" t="s">
        <v>1188</v>
      </c>
      <c r="B496" s="173" t="s">
        <v>1189</v>
      </c>
      <c r="C496" s="169" t="s">
        <v>257</v>
      </c>
      <c r="D496" s="178">
        <v>760.82600000000002</v>
      </c>
    </row>
    <row r="497" spans="1:4" x14ac:dyDescent="0.3">
      <c r="A497" s="162" t="s">
        <v>1190</v>
      </c>
      <c r="B497" s="173" t="s">
        <v>1191</v>
      </c>
      <c r="C497" s="169" t="s">
        <v>199</v>
      </c>
      <c r="D497" s="178">
        <v>69.408000000000001</v>
      </c>
    </row>
    <row r="498" spans="1:4" x14ac:dyDescent="0.3">
      <c r="A498" s="162" t="s">
        <v>1192</v>
      </c>
      <c r="B498" s="173" t="s">
        <v>1193</v>
      </c>
      <c r="C498" s="169" t="s">
        <v>199</v>
      </c>
      <c r="D498" s="178">
        <v>2.0750000000000002</v>
      </c>
    </row>
    <row r="499" spans="1:4" x14ac:dyDescent="0.3">
      <c r="A499" s="162" t="s">
        <v>2025</v>
      </c>
      <c r="B499" s="173" t="s">
        <v>2026</v>
      </c>
      <c r="C499" s="169" t="s">
        <v>688</v>
      </c>
      <c r="D499" s="178">
        <v>18.663</v>
      </c>
    </row>
    <row r="500" spans="1:4" x14ac:dyDescent="0.3">
      <c r="A500" s="162" t="s">
        <v>1194</v>
      </c>
      <c r="B500" s="173" t="s">
        <v>1195</v>
      </c>
      <c r="C500" s="169" t="s">
        <v>198</v>
      </c>
      <c r="D500" s="178">
        <v>21.658000000000001</v>
      </c>
    </row>
    <row r="501" spans="1:4" x14ac:dyDescent="0.3">
      <c r="A501" s="162" t="s">
        <v>1196</v>
      </c>
      <c r="B501" s="173" t="s">
        <v>1197</v>
      </c>
      <c r="C501" s="169" t="s">
        <v>257</v>
      </c>
      <c r="D501" s="178">
        <v>26.87</v>
      </c>
    </row>
    <row r="502" spans="1:4" x14ac:dyDescent="0.3">
      <c r="A502" s="162" t="s">
        <v>1198</v>
      </c>
      <c r="B502" s="173" t="s">
        <v>1199</v>
      </c>
      <c r="C502" s="169" t="s">
        <v>257</v>
      </c>
      <c r="D502" s="178">
        <v>0.92300000000000004</v>
      </c>
    </row>
    <row r="503" spans="1:4" x14ac:dyDescent="0.3">
      <c r="A503" s="162" t="s">
        <v>1592</v>
      </c>
      <c r="B503" s="173" t="s">
        <v>1593</v>
      </c>
      <c r="C503" s="169" t="s">
        <v>198</v>
      </c>
      <c r="D503" s="178">
        <v>27.251999999999999</v>
      </c>
    </row>
    <row r="504" spans="1:4" x14ac:dyDescent="0.3">
      <c r="A504" s="162" t="s">
        <v>1200</v>
      </c>
      <c r="B504" s="173" t="s">
        <v>1201</v>
      </c>
      <c r="C504" s="169" t="s">
        <v>396</v>
      </c>
      <c r="D504" s="178">
        <v>633.76499999999999</v>
      </c>
    </row>
    <row r="505" spans="1:4" x14ac:dyDescent="0.3">
      <c r="A505" s="162" t="s">
        <v>1202</v>
      </c>
      <c r="B505" s="173" t="s">
        <v>1203</v>
      </c>
      <c r="C505" s="169" t="s">
        <v>257</v>
      </c>
      <c r="D505" s="178">
        <v>4.0119999999999996</v>
      </c>
    </row>
    <row r="506" spans="1:4" x14ac:dyDescent="0.3">
      <c r="A506" s="162" t="s">
        <v>1960</v>
      </c>
      <c r="B506" s="173" t="s">
        <v>1961</v>
      </c>
      <c r="C506" s="169" t="s">
        <v>199</v>
      </c>
      <c r="D506" s="178">
        <v>46.58</v>
      </c>
    </row>
    <row r="507" spans="1:4" x14ac:dyDescent="0.3">
      <c r="A507" s="162" t="s">
        <v>1204</v>
      </c>
      <c r="B507" s="173" t="s">
        <v>1205</v>
      </c>
      <c r="C507" s="169" t="s">
        <v>199</v>
      </c>
      <c r="D507" s="178">
        <v>58.749000000000002</v>
      </c>
    </row>
    <row r="508" spans="1:4" x14ac:dyDescent="0.3">
      <c r="A508" s="162" t="s">
        <v>1206</v>
      </c>
      <c r="B508" s="173" t="s">
        <v>1207</v>
      </c>
      <c r="C508" s="169" t="s">
        <v>199</v>
      </c>
      <c r="D508" s="178">
        <v>44.045000000000002</v>
      </c>
    </row>
    <row r="509" spans="1:4" x14ac:dyDescent="0.3">
      <c r="A509" s="163" t="s">
        <v>1208</v>
      </c>
      <c r="B509" s="173" t="s">
        <v>1209</v>
      </c>
      <c r="C509" s="173" t="s">
        <v>1210</v>
      </c>
      <c r="D509" s="178">
        <v>215.40700000000001</v>
      </c>
    </row>
    <row r="510" spans="1:4" x14ac:dyDescent="0.3">
      <c r="A510" s="165" t="s">
        <v>1211</v>
      </c>
      <c r="B510" s="173" t="s">
        <v>1212</v>
      </c>
      <c r="C510" s="169" t="s">
        <v>198</v>
      </c>
      <c r="D510" s="178">
        <v>4.032</v>
      </c>
    </row>
    <row r="511" spans="1:4" x14ac:dyDescent="0.3">
      <c r="A511" s="162" t="s">
        <v>192</v>
      </c>
      <c r="B511" s="173" t="s">
        <v>1213</v>
      </c>
      <c r="C511" s="169" t="s">
        <v>198</v>
      </c>
      <c r="D511" s="178">
        <v>0.498</v>
      </c>
    </row>
    <row r="512" spans="1:4" x14ac:dyDescent="0.3">
      <c r="A512" s="162" t="s">
        <v>1214</v>
      </c>
      <c r="B512" s="173" t="s">
        <v>1215</v>
      </c>
      <c r="C512" s="169" t="s">
        <v>199</v>
      </c>
      <c r="D512" s="178">
        <v>78.2</v>
      </c>
    </row>
    <row r="513" spans="1:4" x14ac:dyDescent="0.3">
      <c r="A513" s="162" t="s">
        <v>1216</v>
      </c>
      <c r="B513" s="173" t="s">
        <v>1217</v>
      </c>
      <c r="C513" s="169" t="s">
        <v>198</v>
      </c>
      <c r="D513" s="178">
        <v>6.9539999999999997</v>
      </c>
    </row>
    <row r="514" spans="1:4" x14ac:dyDescent="0.3">
      <c r="A514" s="162" t="s">
        <v>1631</v>
      </c>
      <c r="B514" s="173" t="s">
        <v>1632</v>
      </c>
      <c r="C514" s="169" t="s">
        <v>458</v>
      </c>
      <c r="D514" s="178">
        <v>31.356000000000002</v>
      </c>
    </row>
    <row r="515" spans="1:4" x14ac:dyDescent="0.3">
      <c r="A515" s="162" t="s">
        <v>195</v>
      </c>
      <c r="B515" s="173" t="s">
        <v>1218</v>
      </c>
      <c r="C515" s="169" t="s">
        <v>688</v>
      </c>
      <c r="D515" s="178">
        <v>1.583</v>
      </c>
    </row>
    <row r="516" spans="1:4" x14ac:dyDescent="0.3">
      <c r="A516" s="162" t="s">
        <v>1219</v>
      </c>
      <c r="B516" s="173" t="s">
        <v>1220</v>
      </c>
      <c r="C516" s="169" t="s">
        <v>273</v>
      </c>
      <c r="D516" s="178">
        <v>132.803</v>
      </c>
    </row>
    <row r="517" spans="1:4" x14ac:dyDescent="0.3">
      <c r="A517" s="162" t="s">
        <v>1221</v>
      </c>
      <c r="B517" s="173" t="s">
        <v>1222</v>
      </c>
      <c r="C517" s="169" t="s">
        <v>199</v>
      </c>
      <c r="D517" s="178">
        <v>0.80300000000000005</v>
      </c>
    </row>
    <row r="518" spans="1:4" x14ac:dyDescent="0.3">
      <c r="A518" s="162" t="s">
        <v>1223</v>
      </c>
      <c r="B518" s="173" t="s">
        <v>1224</v>
      </c>
      <c r="C518" s="169" t="s">
        <v>209</v>
      </c>
      <c r="D518" s="178">
        <v>48.061999999999998</v>
      </c>
    </row>
    <row r="519" spans="1:4" x14ac:dyDescent="0.3">
      <c r="A519" s="162" t="s">
        <v>1225</v>
      </c>
      <c r="B519" s="173" t="s">
        <v>1226</v>
      </c>
      <c r="C519" s="169" t="s">
        <v>284</v>
      </c>
      <c r="D519" s="178">
        <v>2.1259999999999999</v>
      </c>
    </row>
    <row r="520" spans="1:4" x14ac:dyDescent="0.3">
      <c r="A520" s="162" t="s">
        <v>1990</v>
      </c>
      <c r="B520" s="173" t="s">
        <v>1991</v>
      </c>
      <c r="C520" s="169" t="s">
        <v>257</v>
      </c>
      <c r="D520" s="178">
        <v>25.779</v>
      </c>
    </row>
    <row r="521" spans="1:4" x14ac:dyDescent="0.3">
      <c r="A521" s="162" t="s">
        <v>1227</v>
      </c>
      <c r="B521" s="173" t="s">
        <v>1228</v>
      </c>
      <c r="C521" s="169" t="s">
        <v>284</v>
      </c>
      <c r="D521" s="178">
        <v>97.308999999999997</v>
      </c>
    </row>
    <row r="522" spans="1:4" x14ac:dyDescent="0.3">
      <c r="A522" s="162" t="s">
        <v>1229</v>
      </c>
      <c r="B522" s="173" t="s">
        <v>1594</v>
      </c>
      <c r="C522" s="169" t="s">
        <v>442</v>
      </c>
      <c r="D522" s="178">
        <v>3.7639999999999998</v>
      </c>
    </row>
    <row r="523" spans="1:4" x14ac:dyDescent="0.3">
      <c r="A523" s="162" t="s">
        <v>1231</v>
      </c>
      <c r="B523" s="173" t="s">
        <v>1232</v>
      </c>
      <c r="C523" s="169" t="s">
        <v>1233</v>
      </c>
      <c r="D523" s="178">
        <v>576.1</v>
      </c>
    </row>
    <row r="524" spans="1:4" x14ac:dyDescent="0.3">
      <c r="A524" s="162" t="s">
        <v>1529</v>
      </c>
      <c r="B524" s="173" t="s">
        <v>1595</v>
      </c>
      <c r="C524" s="169" t="s">
        <v>273</v>
      </c>
      <c r="D524" s="178">
        <v>214.279</v>
      </c>
    </row>
    <row r="525" spans="1:4" x14ac:dyDescent="0.3">
      <c r="A525" s="162" t="s">
        <v>1596</v>
      </c>
      <c r="B525" s="173" t="s">
        <v>1597</v>
      </c>
      <c r="C525" s="169" t="s">
        <v>198</v>
      </c>
      <c r="D525" s="178">
        <v>216.249</v>
      </c>
    </row>
    <row r="526" spans="1:4" x14ac:dyDescent="0.3">
      <c r="A526" s="162" t="s">
        <v>1234</v>
      </c>
      <c r="B526" s="173" t="s">
        <v>1235</v>
      </c>
      <c r="C526" s="169" t="s">
        <v>198</v>
      </c>
      <c r="D526" s="178">
        <v>60.14</v>
      </c>
    </row>
    <row r="527" spans="1:4" x14ac:dyDescent="0.3">
      <c r="A527" s="162" t="s">
        <v>1236</v>
      </c>
      <c r="B527" s="173" t="s">
        <v>1237</v>
      </c>
      <c r="C527" s="169" t="s">
        <v>311</v>
      </c>
      <c r="D527" s="178">
        <v>2.3730000000000002</v>
      </c>
    </row>
    <row r="528" spans="1:4" x14ac:dyDescent="0.3">
      <c r="A528" s="162" t="s">
        <v>1238</v>
      </c>
      <c r="B528" s="173" t="s">
        <v>1239</v>
      </c>
      <c r="C528" s="169" t="s">
        <v>198</v>
      </c>
      <c r="D528" s="178">
        <v>117.057</v>
      </c>
    </row>
    <row r="529" spans="1:4" x14ac:dyDescent="0.3">
      <c r="A529" s="162" t="s">
        <v>1240</v>
      </c>
      <c r="B529" s="173" t="s">
        <v>1241</v>
      </c>
      <c r="C529" s="169" t="s">
        <v>405</v>
      </c>
      <c r="D529" s="178">
        <v>26.012</v>
      </c>
    </row>
    <row r="530" spans="1:4" x14ac:dyDescent="0.3">
      <c r="A530" s="162" t="s">
        <v>1242</v>
      </c>
      <c r="B530" s="173" t="s">
        <v>1243</v>
      </c>
      <c r="C530" s="169" t="s">
        <v>442</v>
      </c>
      <c r="D530" s="178">
        <v>1.7689999999999999</v>
      </c>
    </row>
    <row r="531" spans="1:4" x14ac:dyDescent="0.3">
      <c r="A531" s="162" t="s">
        <v>1962</v>
      </c>
      <c r="B531" s="173" t="s">
        <v>1963</v>
      </c>
      <c r="C531" s="169" t="s">
        <v>198</v>
      </c>
      <c r="D531" s="178">
        <v>380.38900000000001</v>
      </c>
    </row>
    <row r="532" spans="1:4" x14ac:dyDescent="0.3">
      <c r="A532" s="162" t="s">
        <v>1244</v>
      </c>
      <c r="B532" s="173" t="s">
        <v>1245</v>
      </c>
      <c r="C532" s="169" t="s">
        <v>200</v>
      </c>
      <c r="D532" s="178">
        <v>41.268999999999998</v>
      </c>
    </row>
    <row r="533" spans="1:4" x14ac:dyDescent="0.3">
      <c r="A533" s="162" t="s">
        <v>1246</v>
      </c>
      <c r="B533" s="173" t="s">
        <v>1247</v>
      </c>
      <c r="C533" s="169" t="s">
        <v>1248</v>
      </c>
      <c r="D533" s="178">
        <v>31.846</v>
      </c>
    </row>
    <row r="534" spans="1:4" x14ac:dyDescent="0.3">
      <c r="A534" s="162" t="s">
        <v>1249</v>
      </c>
      <c r="B534" s="173" t="s">
        <v>1250</v>
      </c>
      <c r="C534" s="169" t="s">
        <v>1251</v>
      </c>
      <c r="D534" s="178">
        <v>179.267</v>
      </c>
    </row>
    <row r="535" spans="1:4" x14ac:dyDescent="0.3">
      <c r="A535" s="162" t="s">
        <v>1252</v>
      </c>
      <c r="B535" s="173" t="s">
        <v>1253</v>
      </c>
      <c r="C535" s="169" t="s">
        <v>198</v>
      </c>
      <c r="D535" s="178">
        <v>13.321</v>
      </c>
    </row>
    <row r="536" spans="1:4" x14ac:dyDescent="0.3">
      <c r="A536" s="162" t="s">
        <v>1992</v>
      </c>
      <c r="B536" s="173" t="s">
        <v>1993</v>
      </c>
      <c r="C536" s="169" t="s">
        <v>273</v>
      </c>
      <c r="D536" s="178">
        <v>183.97900000000001</v>
      </c>
    </row>
    <row r="537" spans="1:4" x14ac:dyDescent="0.3">
      <c r="A537" s="162" t="s">
        <v>1254</v>
      </c>
      <c r="B537" s="173" t="s">
        <v>1255</v>
      </c>
      <c r="C537" s="169" t="s">
        <v>209</v>
      </c>
      <c r="D537" s="178">
        <v>5166.2920000000004</v>
      </c>
    </row>
    <row r="538" spans="1:4" x14ac:dyDescent="0.3">
      <c r="A538" s="162" t="s">
        <v>1256</v>
      </c>
      <c r="B538" s="173" t="s">
        <v>1257</v>
      </c>
      <c r="C538" s="169" t="s">
        <v>209</v>
      </c>
      <c r="D538" s="178">
        <v>42302.580999999998</v>
      </c>
    </row>
    <row r="539" spans="1:4" x14ac:dyDescent="0.3">
      <c r="A539" s="162" t="s">
        <v>1964</v>
      </c>
      <c r="B539" s="173" t="s">
        <v>1965</v>
      </c>
      <c r="C539" s="169" t="s">
        <v>199</v>
      </c>
      <c r="D539" s="178">
        <v>70.495999999999995</v>
      </c>
    </row>
    <row r="540" spans="1:4" x14ac:dyDescent="0.3">
      <c r="A540" s="162" t="s">
        <v>1258</v>
      </c>
      <c r="B540" s="173" t="s">
        <v>1259</v>
      </c>
      <c r="C540" s="169" t="s">
        <v>198</v>
      </c>
      <c r="D540" s="178">
        <v>163.65899999999999</v>
      </c>
    </row>
    <row r="541" spans="1:4" x14ac:dyDescent="0.3">
      <c r="A541" s="162" t="s">
        <v>1598</v>
      </c>
      <c r="B541" s="173" t="s">
        <v>1599</v>
      </c>
      <c r="C541" s="169" t="s">
        <v>273</v>
      </c>
      <c r="D541" s="178">
        <v>2443.3049999999998</v>
      </c>
    </row>
    <row r="542" spans="1:4" x14ac:dyDescent="0.3">
      <c r="A542" s="162" t="s">
        <v>1260</v>
      </c>
      <c r="B542" s="173" t="s">
        <v>1966</v>
      </c>
      <c r="C542" s="169" t="s">
        <v>209</v>
      </c>
      <c r="D542" s="178">
        <v>181.506</v>
      </c>
    </row>
    <row r="543" spans="1:4" x14ac:dyDescent="0.3">
      <c r="A543" s="162" t="s">
        <v>2027</v>
      </c>
      <c r="B543" s="173" t="s">
        <v>2028</v>
      </c>
      <c r="C543" s="169" t="s">
        <v>198</v>
      </c>
      <c r="D543" s="178">
        <v>503.5</v>
      </c>
    </row>
    <row r="544" spans="1:4" x14ac:dyDescent="0.3">
      <c r="A544" s="162" t="s">
        <v>193</v>
      </c>
      <c r="B544" s="173" t="s">
        <v>1262</v>
      </c>
      <c r="C544" s="169" t="s">
        <v>200</v>
      </c>
      <c r="D544" s="178">
        <v>0.19700000000000001</v>
      </c>
    </row>
    <row r="545" spans="1:4" x14ac:dyDescent="0.3">
      <c r="A545" s="162" t="s">
        <v>1263</v>
      </c>
      <c r="B545" s="173" t="s">
        <v>1262</v>
      </c>
      <c r="C545" s="169" t="s">
        <v>209</v>
      </c>
      <c r="D545" s="178">
        <v>1.974</v>
      </c>
    </row>
    <row r="546" spans="1:4" x14ac:dyDescent="0.3">
      <c r="A546" s="162" t="s">
        <v>1264</v>
      </c>
      <c r="B546" s="173" t="s">
        <v>1265</v>
      </c>
      <c r="C546" s="169" t="s">
        <v>209</v>
      </c>
      <c r="D546" s="178">
        <v>130.13999999999999</v>
      </c>
    </row>
    <row r="547" spans="1:4" x14ac:dyDescent="0.3">
      <c r="A547" s="162" t="s">
        <v>1266</v>
      </c>
      <c r="B547" s="173" t="s">
        <v>1267</v>
      </c>
      <c r="C547" s="169" t="s">
        <v>318</v>
      </c>
      <c r="D547" s="178">
        <v>3.61</v>
      </c>
    </row>
    <row r="548" spans="1:4" x14ac:dyDescent="0.3">
      <c r="A548" s="162" t="s">
        <v>1268</v>
      </c>
      <c r="B548" s="173" t="s">
        <v>1269</v>
      </c>
      <c r="C548" s="169" t="s">
        <v>396</v>
      </c>
      <c r="D548" s="178">
        <v>5.8999999999999997E-2</v>
      </c>
    </row>
    <row r="549" spans="1:4" x14ac:dyDescent="0.3">
      <c r="A549" s="162" t="s">
        <v>1270</v>
      </c>
      <c r="B549" s="173" t="s">
        <v>1271</v>
      </c>
      <c r="C549" s="169" t="s">
        <v>198</v>
      </c>
      <c r="D549" s="178">
        <v>14.693</v>
      </c>
    </row>
    <row r="550" spans="1:4" x14ac:dyDescent="0.3">
      <c r="A550" s="162" t="s">
        <v>1272</v>
      </c>
      <c r="B550" s="173" t="s">
        <v>1273</v>
      </c>
      <c r="C550" s="169" t="s">
        <v>1274</v>
      </c>
      <c r="D550" s="178">
        <v>23554.474999999999</v>
      </c>
    </row>
    <row r="551" spans="1:4" x14ac:dyDescent="0.3">
      <c r="A551" s="162" t="s">
        <v>1275</v>
      </c>
      <c r="B551" s="173" t="s">
        <v>1276</v>
      </c>
      <c r="C551" s="169" t="s">
        <v>198</v>
      </c>
      <c r="D551" s="178">
        <v>0.124</v>
      </c>
    </row>
    <row r="552" spans="1:4" x14ac:dyDescent="0.3">
      <c r="A552" s="162" t="s">
        <v>1277</v>
      </c>
      <c r="B552" s="173" t="s">
        <v>1278</v>
      </c>
      <c r="C552" s="169" t="s">
        <v>199</v>
      </c>
      <c r="D552" s="178">
        <v>2076.0790000000002</v>
      </c>
    </row>
    <row r="553" spans="1:4" x14ac:dyDescent="0.3">
      <c r="A553" s="162" t="s">
        <v>1967</v>
      </c>
      <c r="B553" s="173" t="s">
        <v>1968</v>
      </c>
      <c r="C553" s="169" t="s">
        <v>834</v>
      </c>
      <c r="D553" s="178">
        <v>309.40600000000001</v>
      </c>
    </row>
    <row r="554" spans="1:4" x14ac:dyDescent="0.3">
      <c r="A554" s="163" t="s">
        <v>1279</v>
      </c>
      <c r="B554" s="173" t="s">
        <v>1280</v>
      </c>
      <c r="C554" s="173" t="s">
        <v>198</v>
      </c>
      <c r="D554" s="178">
        <v>53.139000000000003</v>
      </c>
    </row>
    <row r="555" spans="1:4" x14ac:dyDescent="0.3">
      <c r="A555" s="162" t="s">
        <v>2029</v>
      </c>
      <c r="B555" s="173" t="s">
        <v>2030</v>
      </c>
      <c r="C555" s="169" t="s">
        <v>199</v>
      </c>
      <c r="D555" s="178">
        <v>220.428</v>
      </c>
    </row>
    <row r="556" spans="1:4" x14ac:dyDescent="0.3">
      <c r="A556" s="162" t="s">
        <v>2124</v>
      </c>
      <c r="B556" s="173" t="s">
        <v>2125</v>
      </c>
      <c r="C556" s="169" t="s">
        <v>198</v>
      </c>
      <c r="D556" s="178">
        <v>155.90799999999999</v>
      </c>
    </row>
    <row r="557" spans="1:4" x14ac:dyDescent="0.3">
      <c r="A557" s="162" t="s">
        <v>1281</v>
      </c>
      <c r="B557" s="173" t="s">
        <v>1282</v>
      </c>
      <c r="C557" s="169" t="s">
        <v>200</v>
      </c>
      <c r="D557" s="178">
        <v>47.16</v>
      </c>
    </row>
    <row r="558" spans="1:4" x14ac:dyDescent="0.3">
      <c r="A558" s="162" t="s">
        <v>1969</v>
      </c>
      <c r="B558" s="173" t="s">
        <v>1970</v>
      </c>
      <c r="C558" s="169" t="s">
        <v>198</v>
      </c>
      <c r="D558" s="178">
        <v>285.36099999999999</v>
      </c>
    </row>
    <row r="559" spans="1:4" x14ac:dyDescent="0.3">
      <c r="A559" s="162" t="s">
        <v>1285</v>
      </c>
      <c r="B559" s="173" t="s">
        <v>1286</v>
      </c>
      <c r="C559" s="169" t="s">
        <v>200</v>
      </c>
      <c r="D559" s="178">
        <v>35.786000000000001</v>
      </c>
    </row>
    <row r="560" spans="1:4" x14ac:dyDescent="0.3">
      <c r="A560" s="162" t="s">
        <v>1287</v>
      </c>
      <c r="B560" s="173" t="s">
        <v>1288</v>
      </c>
      <c r="C560" s="173" t="s">
        <v>198</v>
      </c>
      <c r="D560" s="178">
        <v>5.7370000000000001</v>
      </c>
    </row>
    <row r="561" spans="1:4" x14ac:dyDescent="0.3">
      <c r="A561" s="163" t="s">
        <v>1289</v>
      </c>
      <c r="B561" s="173" t="s">
        <v>1290</v>
      </c>
      <c r="C561" s="173" t="s">
        <v>198</v>
      </c>
      <c r="D561" s="178">
        <v>29.684999999999999</v>
      </c>
    </row>
    <row r="562" spans="1:4" x14ac:dyDescent="0.3">
      <c r="A562" s="162" t="s">
        <v>1291</v>
      </c>
      <c r="B562" s="173" t="s">
        <v>1292</v>
      </c>
      <c r="C562" s="169" t="s">
        <v>199</v>
      </c>
      <c r="D562" s="178">
        <v>66.004999999999995</v>
      </c>
    </row>
    <row r="563" spans="1:4" x14ac:dyDescent="0.3">
      <c r="A563" s="162" t="s">
        <v>1293</v>
      </c>
      <c r="B563" s="173" t="s">
        <v>1294</v>
      </c>
      <c r="C563" s="169" t="s">
        <v>199</v>
      </c>
      <c r="D563" s="178">
        <v>63.957000000000001</v>
      </c>
    </row>
    <row r="564" spans="1:4" x14ac:dyDescent="0.3">
      <c r="A564" s="162" t="s">
        <v>1295</v>
      </c>
      <c r="B564" s="173" t="s">
        <v>1296</v>
      </c>
      <c r="C564" s="169" t="s">
        <v>199</v>
      </c>
      <c r="D564" s="178">
        <v>136.965</v>
      </c>
    </row>
    <row r="565" spans="1:4" x14ac:dyDescent="0.3">
      <c r="A565" s="162" t="s">
        <v>1297</v>
      </c>
      <c r="B565" s="173" t="s">
        <v>1971</v>
      </c>
      <c r="C565" s="169" t="s">
        <v>199</v>
      </c>
      <c r="D565" s="178">
        <v>78.393000000000001</v>
      </c>
    </row>
    <row r="566" spans="1:4" x14ac:dyDescent="0.3">
      <c r="A566" s="163" t="s">
        <v>1299</v>
      </c>
      <c r="B566" s="173" t="s">
        <v>1300</v>
      </c>
      <c r="C566" s="173" t="s">
        <v>198</v>
      </c>
      <c r="D566" s="178">
        <v>14.151999999999999</v>
      </c>
    </row>
    <row r="567" spans="1:4" x14ac:dyDescent="0.3">
      <c r="A567" s="162" t="s">
        <v>1301</v>
      </c>
      <c r="B567" s="173" t="s">
        <v>1302</v>
      </c>
      <c r="C567" s="169" t="s">
        <v>198</v>
      </c>
      <c r="D567" s="178">
        <v>321.08800000000002</v>
      </c>
    </row>
    <row r="568" spans="1:4" x14ac:dyDescent="0.3">
      <c r="A568" s="163" t="s">
        <v>1303</v>
      </c>
      <c r="B568" s="173" t="s">
        <v>1304</v>
      </c>
      <c r="C568" s="173" t="s">
        <v>200</v>
      </c>
      <c r="D568" s="178">
        <v>65.674000000000007</v>
      </c>
    </row>
    <row r="569" spans="1:4" x14ac:dyDescent="0.3">
      <c r="A569" s="162" t="s">
        <v>1600</v>
      </c>
      <c r="B569" s="173" t="s">
        <v>1601</v>
      </c>
      <c r="C569" s="169" t="s">
        <v>198</v>
      </c>
      <c r="D569" s="178">
        <v>117.809</v>
      </c>
    </row>
    <row r="570" spans="1:4" x14ac:dyDescent="0.3">
      <c r="A570" s="163" t="s">
        <v>1305</v>
      </c>
      <c r="B570" s="173" t="s">
        <v>1306</v>
      </c>
      <c r="C570" s="173" t="s">
        <v>1307</v>
      </c>
      <c r="D570" s="178">
        <v>37.901000000000003</v>
      </c>
    </row>
    <row r="571" spans="1:4" x14ac:dyDescent="0.3">
      <c r="A571" s="162" t="s">
        <v>1308</v>
      </c>
      <c r="B571" s="173" t="s">
        <v>1309</v>
      </c>
      <c r="C571" s="169" t="s">
        <v>199</v>
      </c>
      <c r="D571" s="178">
        <v>84.165999999999997</v>
      </c>
    </row>
    <row r="572" spans="1:4" x14ac:dyDescent="0.3">
      <c r="A572" s="162" t="s">
        <v>1972</v>
      </c>
      <c r="B572" s="173" t="s">
        <v>1973</v>
      </c>
      <c r="C572" s="169" t="s">
        <v>318</v>
      </c>
      <c r="D572" s="178">
        <v>23.393999999999998</v>
      </c>
    </row>
    <row r="573" spans="1:4" x14ac:dyDescent="0.3">
      <c r="A573" s="162" t="s">
        <v>1994</v>
      </c>
      <c r="B573" s="173" t="s">
        <v>1995</v>
      </c>
      <c r="C573" s="169" t="s">
        <v>199</v>
      </c>
      <c r="D573" s="178">
        <v>70.370999999999995</v>
      </c>
    </row>
    <row r="574" spans="1:4" x14ac:dyDescent="0.3">
      <c r="A574" s="162" t="s">
        <v>1918</v>
      </c>
      <c r="B574" s="173" t="s">
        <v>1974</v>
      </c>
      <c r="C574" s="169" t="s">
        <v>1134</v>
      </c>
      <c r="D574" s="178">
        <v>32.033000000000001</v>
      </c>
    </row>
    <row r="575" spans="1:4" x14ac:dyDescent="0.3">
      <c r="A575" s="162" t="s">
        <v>2031</v>
      </c>
      <c r="B575" s="173" t="s">
        <v>2032</v>
      </c>
      <c r="C575" s="169" t="s">
        <v>273</v>
      </c>
      <c r="D575" s="178">
        <v>33.228000000000002</v>
      </c>
    </row>
    <row r="576" spans="1:4" x14ac:dyDescent="0.3">
      <c r="A576" s="162" t="s">
        <v>1312</v>
      </c>
      <c r="B576" s="173" t="s">
        <v>1313</v>
      </c>
      <c r="C576" s="169" t="s">
        <v>405</v>
      </c>
      <c r="D576" s="178">
        <v>349.38400000000001</v>
      </c>
    </row>
    <row r="577" spans="1:4" x14ac:dyDescent="0.3">
      <c r="A577" s="162" t="s">
        <v>1314</v>
      </c>
      <c r="B577" s="173" t="s">
        <v>1315</v>
      </c>
      <c r="C577" s="169" t="s">
        <v>1316</v>
      </c>
      <c r="D577" s="178">
        <v>59.677999999999997</v>
      </c>
    </row>
    <row r="578" spans="1:4" x14ac:dyDescent="0.3">
      <c r="A578" s="162" t="s">
        <v>1317</v>
      </c>
      <c r="B578" s="173" t="s">
        <v>1318</v>
      </c>
      <c r="C578" s="169" t="s">
        <v>198</v>
      </c>
      <c r="D578" s="178">
        <v>10.398</v>
      </c>
    </row>
    <row r="579" spans="1:4" x14ac:dyDescent="0.3">
      <c r="A579" s="162" t="s">
        <v>1319</v>
      </c>
      <c r="B579" s="173" t="s">
        <v>1320</v>
      </c>
      <c r="C579" s="169" t="s">
        <v>198</v>
      </c>
      <c r="D579" s="178">
        <v>32.909999999999997</v>
      </c>
    </row>
    <row r="580" spans="1:4" x14ac:dyDescent="0.3">
      <c r="A580" s="162" t="s">
        <v>2126</v>
      </c>
      <c r="B580" s="173" t="s">
        <v>2127</v>
      </c>
      <c r="C580" s="169" t="s">
        <v>688</v>
      </c>
      <c r="D580" s="178">
        <v>31.53</v>
      </c>
    </row>
    <row r="581" spans="1:4" x14ac:dyDescent="0.3">
      <c r="A581" s="162" t="s">
        <v>1321</v>
      </c>
      <c r="B581" s="173" t="s">
        <v>1322</v>
      </c>
      <c r="C581" s="169" t="s">
        <v>659</v>
      </c>
      <c r="D581" s="178">
        <v>298.19099999999997</v>
      </c>
    </row>
    <row r="582" spans="1:4" x14ac:dyDescent="0.3">
      <c r="A582" s="162" t="s">
        <v>1996</v>
      </c>
      <c r="B582" s="173" t="s">
        <v>1997</v>
      </c>
      <c r="C582" s="169" t="s">
        <v>688</v>
      </c>
      <c r="D582" s="178">
        <v>12.965</v>
      </c>
    </row>
    <row r="583" spans="1:4" x14ac:dyDescent="0.3">
      <c r="A583" s="162" t="s">
        <v>1323</v>
      </c>
      <c r="B583" s="173" t="s">
        <v>1324</v>
      </c>
      <c r="C583" s="169" t="s">
        <v>273</v>
      </c>
      <c r="D583" s="178">
        <v>0.83099999999999996</v>
      </c>
    </row>
    <row r="584" spans="1:4" x14ac:dyDescent="0.3">
      <c r="A584" s="162" t="s">
        <v>1325</v>
      </c>
      <c r="B584" s="173" t="s">
        <v>1326</v>
      </c>
      <c r="C584" s="169" t="s">
        <v>273</v>
      </c>
      <c r="D584" s="178">
        <v>330.17500000000001</v>
      </c>
    </row>
    <row r="585" spans="1:4" x14ac:dyDescent="0.3">
      <c r="A585" s="162" t="s">
        <v>2033</v>
      </c>
      <c r="B585" s="173" t="s">
        <v>2034</v>
      </c>
      <c r="C585" s="169" t="s">
        <v>200</v>
      </c>
      <c r="D585" s="178">
        <v>44.031999999999996</v>
      </c>
    </row>
    <row r="586" spans="1:4" x14ac:dyDescent="0.3">
      <c r="A586" s="163" t="s">
        <v>1327</v>
      </c>
      <c r="B586" s="173" t="s">
        <v>1328</v>
      </c>
      <c r="C586" s="173" t="s">
        <v>198</v>
      </c>
      <c r="D586" s="178">
        <v>35.616</v>
      </c>
    </row>
    <row r="587" spans="1:4" x14ac:dyDescent="0.3">
      <c r="A587" s="162" t="s">
        <v>1329</v>
      </c>
      <c r="B587" s="173" t="s">
        <v>1330</v>
      </c>
      <c r="C587" s="169" t="s">
        <v>199</v>
      </c>
      <c r="D587" s="178">
        <v>86.606999999999999</v>
      </c>
    </row>
    <row r="588" spans="1:4" x14ac:dyDescent="0.3">
      <c r="A588" s="162" t="s">
        <v>1331</v>
      </c>
      <c r="B588" s="173" t="s">
        <v>1332</v>
      </c>
      <c r="C588" s="169" t="s">
        <v>199</v>
      </c>
      <c r="D588" s="178">
        <v>68.733999999999995</v>
      </c>
    </row>
    <row r="589" spans="1:4" x14ac:dyDescent="0.3">
      <c r="A589" s="162" t="s">
        <v>1333</v>
      </c>
      <c r="B589" s="173" t="s">
        <v>1334</v>
      </c>
      <c r="C589" s="169" t="s">
        <v>442</v>
      </c>
      <c r="D589" s="178">
        <v>1437.847</v>
      </c>
    </row>
    <row r="590" spans="1:4" x14ac:dyDescent="0.3">
      <c r="A590" s="162" t="s">
        <v>1633</v>
      </c>
      <c r="B590" s="173" t="s">
        <v>1634</v>
      </c>
      <c r="C590" s="169" t="s">
        <v>198</v>
      </c>
      <c r="D590" s="178">
        <v>25.167000000000002</v>
      </c>
    </row>
    <row r="591" spans="1:4" x14ac:dyDescent="0.3">
      <c r="A591" s="162" t="s">
        <v>2101</v>
      </c>
      <c r="B591" s="173" t="s">
        <v>2102</v>
      </c>
      <c r="C591" s="169" t="s">
        <v>2103</v>
      </c>
      <c r="D591" s="178">
        <v>188.29499999999999</v>
      </c>
    </row>
    <row r="592" spans="1:4" x14ac:dyDescent="0.3">
      <c r="A592" s="162" t="s">
        <v>1335</v>
      </c>
      <c r="B592" s="173" t="s">
        <v>1336</v>
      </c>
      <c r="C592" s="169" t="s">
        <v>198</v>
      </c>
      <c r="D592" s="178">
        <v>4.0069999999999997</v>
      </c>
    </row>
    <row r="593" spans="1:4" x14ac:dyDescent="0.3">
      <c r="A593" s="162" t="s">
        <v>1337</v>
      </c>
      <c r="B593" s="173" t="s">
        <v>1338</v>
      </c>
      <c r="C593" s="169" t="s">
        <v>198</v>
      </c>
      <c r="D593" s="178">
        <v>4.9059999999999997</v>
      </c>
    </row>
    <row r="594" spans="1:4" x14ac:dyDescent="0.3">
      <c r="A594" s="162" t="s">
        <v>1339</v>
      </c>
      <c r="B594" s="173" t="s">
        <v>1340</v>
      </c>
      <c r="C594" s="169" t="s">
        <v>198</v>
      </c>
      <c r="D594" s="178">
        <v>3420.7809999999999</v>
      </c>
    </row>
    <row r="595" spans="1:4" x14ac:dyDescent="0.3">
      <c r="A595" s="162" t="s">
        <v>1341</v>
      </c>
      <c r="B595" s="173" t="s">
        <v>1342</v>
      </c>
      <c r="C595" s="169" t="s">
        <v>199</v>
      </c>
      <c r="D595" s="178">
        <v>11.397</v>
      </c>
    </row>
    <row r="596" spans="1:4" x14ac:dyDescent="0.3">
      <c r="A596" s="162" t="s">
        <v>1343</v>
      </c>
      <c r="B596" s="173" t="s">
        <v>1344</v>
      </c>
      <c r="C596" s="169" t="s">
        <v>553</v>
      </c>
      <c r="D596" s="178">
        <v>14.016999999999999</v>
      </c>
    </row>
    <row r="597" spans="1:4" x14ac:dyDescent="0.3">
      <c r="A597" s="163" t="s">
        <v>1345</v>
      </c>
      <c r="B597" s="173" t="s">
        <v>1346</v>
      </c>
      <c r="C597" s="173" t="s">
        <v>198</v>
      </c>
      <c r="D597" s="178">
        <v>8.0909999999999993</v>
      </c>
    </row>
    <row r="598" spans="1:4" x14ac:dyDescent="0.3">
      <c r="A598" s="162" t="s">
        <v>1347</v>
      </c>
      <c r="B598" s="173" t="s">
        <v>1348</v>
      </c>
      <c r="C598" s="169" t="s">
        <v>522</v>
      </c>
      <c r="D598" s="178">
        <v>10.49</v>
      </c>
    </row>
    <row r="599" spans="1:4" x14ac:dyDescent="0.3">
      <c r="A599" s="162" t="s">
        <v>1349</v>
      </c>
      <c r="B599" s="173" t="s">
        <v>1350</v>
      </c>
      <c r="C599" s="169" t="s">
        <v>951</v>
      </c>
      <c r="D599" s="178">
        <v>52.45</v>
      </c>
    </row>
    <row r="600" spans="1:4" x14ac:dyDescent="0.3">
      <c r="A600" s="162" t="s">
        <v>1351</v>
      </c>
      <c r="B600" s="173" t="s">
        <v>1352</v>
      </c>
      <c r="C600" s="169" t="s">
        <v>1353</v>
      </c>
      <c r="D600" s="178">
        <v>20.98</v>
      </c>
    </row>
    <row r="601" spans="1:4" x14ac:dyDescent="0.3">
      <c r="A601" s="162" t="s">
        <v>1354</v>
      </c>
      <c r="B601" s="173" t="s">
        <v>1355</v>
      </c>
      <c r="C601" s="169" t="s">
        <v>522</v>
      </c>
      <c r="D601" s="178">
        <v>52.45</v>
      </c>
    </row>
    <row r="602" spans="1:4" x14ac:dyDescent="0.3">
      <c r="A602" s="165" t="s">
        <v>1356</v>
      </c>
      <c r="B602" s="173" t="s">
        <v>1357</v>
      </c>
      <c r="C602" s="169" t="s">
        <v>198</v>
      </c>
      <c r="D602" s="178">
        <v>0.70199999999999996</v>
      </c>
    </row>
    <row r="603" spans="1:4" x14ac:dyDescent="0.3">
      <c r="A603" s="165" t="s">
        <v>1358</v>
      </c>
      <c r="B603" s="173" t="s">
        <v>1359</v>
      </c>
      <c r="C603" s="169" t="s">
        <v>198</v>
      </c>
      <c r="D603" s="178">
        <v>0.70199999999999996</v>
      </c>
    </row>
    <row r="604" spans="1:4" x14ac:dyDescent="0.3">
      <c r="A604" s="162" t="s">
        <v>1360</v>
      </c>
      <c r="B604" s="173" t="s">
        <v>1361</v>
      </c>
      <c r="C604" s="169" t="s">
        <v>198</v>
      </c>
      <c r="D604" s="178">
        <v>1.0999999999999999E-2</v>
      </c>
    </row>
    <row r="605" spans="1:4" x14ac:dyDescent="0.3">
      <c r="A605" s="162" t="s">
        <v>1364</v>
      </c>
      <c r="B605" s="173" t="s">
        <v>1365</v>
      </c>
      <c r="C605" s="169" t="s">
        <v>200</v>
      </c>
      <c r="D605" s="178">
        <v>0.442</v>
      </c>
    </row>
    <row r="606" spans="1:4" x14ac:dyDescent="0.3">
      <c r="A606" s="162" t="s">
        <v>1368</v>
      </c>
      <c r="B606" s="173" t="s">
        <v>1369</v>
      </c>
      <c r="C606" s="169" t="s">
        <v>1134</v>
      </c>
      <c r="D606" s="178">
        <v>0.877</v>
      </c>
    </row>
    <row r="607" spans="1:4" x14ac:dyDescent="0.3">
      <c r="A607" s="162" t="s">
        <v>1374</v>
      </c>
      <c r="B607" s="173" t="s">
        <v>1375</v>
      </c>
      <c r="C607" s="169" t="s">
        <v>1376</v>
      </c>
      <c r="D607" s="178">
        <v>55114.745000000003</v>
      </c>
    </row>
    <row r="608" spans="1:4" x14ac:dyDescent="0.3">
      <c r="A608" s="162" t="s">
        <v>191</v>
      </c>
      <c r="B608" s="173" t="s">
        <v>1377</v>
      </c>
      <c r="C608" s="169" t="s">
        <v>199</v>
      </c>
      <c r="D608" s="178">
        <v>129.99299999999999</v>
      </c>
    </row>
    <row r="609" spans="1:4" x14ac:dyDescent="0.3">
      <c r="A609" s="162" t="s">
        <v>1378</v>
      </c>
      <c r="B609" s="173" t="s">
        <v>1379</v>
      </c>
      <c r="C609" s="169" t="s">
        <v>452</v>
      </c>
      <c r="D609" s="178">
        <v>56.067</v>
      </c>
    </row>
    <row r="610" spans="1:4" x14ac:dyDescent="0.3">
      <c r="A610" s="162" t="s">
        <v>1380</v>
      </c>
      <c r="B610" s="173" t="s">
        <v>1381</v>
      </c>
      <c r="C610" s="171" t="s">
        <v>1382</v>
      </c>
      <c r="D610" s="178">
        <v>139.476</v>
      </c>
    </row>
    <row r="611" spans="1:4" x14ac:dyDescent="0.3">
      <c r="A611" s="162" t="s">
        <v>1383</v>
      </c>
      <c r="B611" s="173" t="s">
        <v>1384</v>
      </c>
      <c r="C611" s="169" t="s">
        <v>360</v>
      </c>
      <c r="D611" s="178">
        <v>0.82199999999999995</v>
      </c>
    </row>
    <row r="612" spans="1:4" x14ac:dyDescent="0.3">
      <c r="A612" s="162" t="s">
        <v>1385</v>
      </c>
      <c r="B612" s="173" t="s">
        <v>1386</v>
      </c>
      <c r="C612" s="169" t="s">
        <v>1042</v>
      </c>
      <c r="D612" s="178">
        <v>30.364999999999998</v>
      </c>
    </row>
    <row r="613" spans="1:4" x14ac:dyDescent="0.3">
      <c r="A613" s="162" t="s">
        <v>1387</v>
      </c>
      <c r="B613" s="173" t="s">
        <v>1388</v>
      </c>
      <c r="C613" s="169" t="s">
        <v>1042</v>
      </c>
      <c r="D613" s="178">
        <v>11.624000000000001</v>
      </c>
    </row>
    <row r="614" spans="1:4" x14ac:dyDescent="0.3">
      <c r="A614" s="162" t="s">
        <v>1389</v>
      </c>
      <c r="B614" s="173" t="s">
        <v>1390</v>
      </c>
      <c r="C614" s="169" t="s">
        <v>1042</v>
      </c>
      <c r="D614" s="178">
        <v>26.763000000000002</v>
      </c>
    </row>
    <row r="615" spans="1:4" x14ac:dyDescent="0.3">
      <c r="A615" s="162" t="s">
        <v>1393</v>
      </c>
      <c r="B615" s="173" t="s">
        <v>1394</v>
      </c>
      <c r="C615" s="169" t="s">
        <v>1042</v>
      </c>
      <c r="D615" s="178">
        <v>41.798000000000002</v>
      </c>
    </row>
    <row r="616" spans="1:4" x14ac:dyDescent="0.3">
      <c r="A616" s="162" t="s">
        <v>1395</v>
      </c>
      <c r="B616" s="173" t="s">
        <v>1396</v>
      </c>
      <c r="C616" s="169" t="s">
        <v>1042</v>
      </c>
      <c r="D616" s="178">
        <v>7.194</v>
      </c>
    </row>
    <row r="617" spans="1:4" x14ac:dyDescent="0.3">
      <c r="A617" s="162" t="s">
        <v>1403</v>
      </c>
      <c r="B617" s="173" t="s">
        <v>1404</v>
      </c>
      <c r="C617" s="174" t="s">
        <v>1042</v>
      </c>
      <c r="D617" s="178">
        <v>43.218000000000004</v>
      </c>
    </row>
    <row r="618" spans="1:4" x14ac:dyDescent="0.3">
      <c r="A618" s="162" t="s">
        <v>1407</v>
      </c>
      <c r="B618" s="173" t="s">
        <v>1408</v>
      </c>
      <c r="C618" s="174" t="s">
        <v>1042</v>
      </c>
      <c r="D618" s="178">
        <v>135.46700000000001</v>
      </c>
    </row>
    <row r="619" spans="1:4" x14ac:dyDescent="0.3">
      <c r="A619" s="162" t="s">
        <v>1409</v>
      </c>
      <c r="B619" s="173" t="s">
        <v>1410</v>
      </c>
      <c r="C619" s="174" t="s">
        <v>1042</v>
      </c>
      <c r="D619" s="178">
        <v>98.483000000000004</v>
      </c>
    </row>
    <row r="620" spans="1:4" x14ac:dyDescent="0.3">
      <c r="A620" s="162" t="s">
        <v>1413</v>
      </c>
      <c r="B620" s="173" t="s">
        <v>1414</v>
      </c>
      <c r="C620" s="174" t="s">
        <v>1042</v>
      </c>
      <c r="D620" s="178">
        <v>134.79300000000001</v>
      </c>
    </row>
    <row r="621" spans="1:4" x14ac:dyDescent="0.3">
      <c r="A621" s="162" t="s">
        <v>1417</v>
      </c>
      <c r="B621" s="173" t="s">
        <v>1418</v>
      </c>
      <c r="C621" s="171" t="s">
        <v>1042</v>
      </c>
      <c r="D621" s="178">
        <v>535.09299999999996</v>
      </c>
    </row>
    <row r="622" spans="1:4" x14ac:dyDescent="0.3">
      <c r="A622" s="162" t="s">
        <v>1419</v>
      </c>
      <c r="B622" s="173" t="s">
        <v>1420</v>
      </c>
      <c r="C622" s="174" t="s">
        <v>1042</v>
      </c>
      <c r="D622" s="178">
        <v>92.335999999999999</v>
      </c>
    </row>
    <row r="623" spans="1:4" x14ac:dyDescent="0.3">
      <c r="A623" s="162" t="s">
        <v>1998</v>
      </c>
      <c r="B623" s="173" t="s">
        <v>1999</v>
      </c>
      <c r="C623" s="169" t="s">
        <v>1042</v>
      </c>
      <c r="D623" s="178">
        <v>90.42</v>
      </c>
    </row>
    <row r="624" spans="1:4" x14ac:dyDescent="0.3">
      <c r="A624" s="162" t="s">
        <v>1423</v>
      </c>
      <c r="B624" s="173" t="s">
        <v>1424</v>
      </c>
      <c r="C624" s="174" t="s">
        <v>1042</v>
      </c>
      <c r="D624" s="178">
        <v>156.22200000000001</v>
      </c>
    </row>
    <row r="625" spans="1:4" x14ac:dyDescent="0.3">
      <c r="A625" s="162" t="s">
        <v>2000</v>
      </c>
      <c r="B625" s="173" t="s">
        <v>2001</v>
      </c>
      <c r="C625" s="169" t="s">
        <v>1042</v>
      </c>
      <c r="D625" s="178">
        <v>237.06399999999999</v>
      </c>
    </row>
    <row r="626" spans="1:4" x14ac:dyDescent="0.3">
      <c r="A626" s="162" t="s">
        <v>1425</v>
      </c>
      <c r="B626" s="173" t="s">
        <v>1426</v>
      </c>
      <c r="C626" s="169" t="s">
        <v>1042</v>
      </c>
      <c r="D626" s="178">
        <v>71.231999999999999</v>
      </c>
    </row>
    <row r="627" spans="1:4" x14ac:dyDescent="0.3">
      <c r="A627" s="163" t="s">
        <v>1427</v>
      </c>
      <c r="B627" s="173" t="s">
        <v>1428</v>
      </c>
      <c r="C627" s="169" t="s">
        <v>1042</v>
      </c>
      <c r="D627" s="178">
        <v>109.45</v>
      </c>
    </row>
    <row r="628" spans="1:4" x14ac:dyDescent="0.3">
      <c r="A628" s="162" t="s">
        <v>1429</v>
      </c>
      <c r="B628" s="173" t="s">
        <v>1430</v>
      </c>
      <c r="C628" s="176" t="s">
        <v>452</v>
      </c>
      <c r="D628" s="178">
        <v>0.23100000000000001</v>
      </c>
    </row>
    <row r="629" spans="1:4" x14ac:dyDescent="0.3">
      <c r="A629" s="162" t="s">
        <v>1431</v>
      </c>
      <c r="B629" s="173" t="s">
        <v>1432</v>
      </c>
      <c r="C629" s="174" t="s">
        <v>199</v>
      </c>
      <c r="D629" s="178">
        <v>33.256999999999998</v>
      </c>
    </row>
    <row r="630" spans="1:4" x14ac:dyDescent="0.3">
      <c r="A630" s="162" t="s">
        <v>1433</v>
      </c>
      <c r="B630" s="173" t="s">
        <v>1434</v>
      </c>
      <c r="C630" s="174" t="s">
        <v>199</v>
      </c>
      <c r="D630" s="178">
        <v>51.253</v>
      </c>
    </row>
    <row r="631" spans="1:4" x14ac:dyDescent="0.3">
      <c r="A631" s="162" t="s">
        <v>1435</v>
      </c>
      <c r="B631" s="173" t="s">
        <v>1436</v>
      </c>
      <c r="C631" s="173" t="s">
        <v>360</v>
      </c>
      <c r="D631" s="178">
        <v>0.83899999999999997</v>
      </c>
    </row>
    <row r="632" spans="1:4" x14ac:dyDescent="0.3">
      <c r="A632" s="162" t="s">
        <v>1437</v>
      </c>
      <c r="B632" s="173" t="s">
        <v>1438</v>
      </c>
      <c r="C632" s="173" t="s">
        <v>432</v>
      </c>
      <c r="D632" s="178">
        <v>8.3949999999999996</v>
      </c>
    </row>
    <row r="633" spans="1:4" x14ac:dyDescent="0.3">
      <c r="A633" s="162" t="s">
        <v>1602</v>
      </c>
      <c r="B633" s="173" t="s">
        <v>1603</v>
      </c>
      <c r="C633" s="169" t="s">
        <v>199</v>
      </c>
      <c r="D633" s="178">
        <v>32.238999999999997</v>
      </c>
    </row>
    <row r="634" spans="1:4" x14ac:dyDescent="0.3">
      <c r="A634" s="162" t="s">
        <v>1439</v>
      </c>
      <c r="B634" s="173" t="s">
        <v>1440</v>
      </c>
      <c r="C634" s="169" t="s">
        <v>396</v>
      </c>
      <c r="D634" s="178">
        <v>165.268</v>
      </c>
    </row>
    <row r="635" spans="1:4" x14ac:dyDescent="0.3">
      <c r="A635" s="163" t="s">
        <v>1441</v>
      </c>
      <c r="B635" s="173" t="s">
        <v>1442</v>
      </c>
      <c r="C635" s="173" t="s">
        <v>452</v>
      </c>
      <c r="D635" s="178">
        <v>0.34</v>
      </c>
    </row>
    <row r="636" spans="1:4" x14ac:dyDescent="0.3">
      <c r="A636" s="162" t="s">
        <v>1443</v>
      </c>
      <c r="B636" s="173" t="s">
        <v>1444</v>
      </c>
      <c r="C636" s="169" t="s">
        <v>396</v>
      </c>
      <c r="D636" s="178">
        <v>171.869</v>
      </c>
    </row>
    <row r="637" spans="1:4" x14ac:dyDescent="0.3">
      <c r="A637" s="162" t="s">
        <v>1635</v>
      </c>
      <c r="B637" s="173" t="s">
        <v>1636</v>
      </c>
      <c r="C637" s="169" t="s">
        <v>199</v>
      </c>
      <c r="D637" s="178">
        <v>68.497</v>
      </c>
    </row>
    <row r="638" spans="1:4" x14ac:dyDescent="0.3">
      <c r="A638" s="162" t="s">
        <v>1637</v>
      </c>
      <c r="B638" s="173" t="s">
        <v>1638</v>
      </c>
      <c r="C638" s="169" t="s">
        <v>199</v>
      </c>
      <c r="D638" s="178">
        <v>42.954999999999998</v>
      </c>
    </row>
    <row r="639" spans="1:4" x14ac:dyDescent="0.3">
      <c r="A639" s="162" t="s">
        <v>1604</v>
      </c>
      <c r="B639" s="173" t="s">
        <v>1605</v>
      </c>
      <c r="C639" s="169" t="s">
        <v>199</v>
      </c>
      <c r="D639" s="178">
        <v>47.802999999999997</v>
      </c>
    </row>
    <row r="640" spans="1:4" x14ac:dyDescent="0.3">
      <c r="A640" s="162" t="s">
        <v>1606</v>
      </c>
      <c r="B640" s="173" t="s">
        <v>1607</v>
      </c>
      <c r="C640" s="169" t="s">
        <v>199</v>
      </c>
      <c r="D640" s="178">
        <v>48.34</v>
      </c>
    </row>
    <row r="641" spans="1:4" x14ac:dyDescent="0.3">
      <c r="A641" s="162" t="s">
        <v>1639</v>
      </c>
      <c r="B641" s="173" t="s">
        <v>1640</v>
      </c>
      <c r="C641" s="169" t="s">
        <v>199</v>
      </c>
      <c r="D641" s="178">
        <v>45.48</v>
      </c>
    </row>
    <row r="642" spans="1:4" x14ac:dyDescent="0.3">
      <c r="A642" s="162" t="s">
        <v>1608</v>
      </c>
      <c r="B642" s="173" t="s">
        <v>1609</v>
      </c>
      <c r="C642" s="169" t="s">
        <v>199</v>
      </c>
      <c r="D642" s="178">
        <v>38.491</v>
      </c>
    </row>
    <row r="643" spans="1:4" x14ac:dyDescent="0.3">
      <c r="A643" s="162" t="s">
        <v>1641</v>
      </c>
      <c r="B643" s="173" t="s">
        <v>1642</v>
      </c>
      <c r="C643" s="169" t="s">
        <v>199</v>
      </c>
      <c r="D643" s="178">
        <v>41.862000000000002</v>
      </c>
    </row>
    <row r="644" spans="1:4" x14ac:dyDescent="0.3">
      <c r="A644" s="162" t="s">
        <v>1643</v>
      </c>
      <c r="B644" s="173" t="s">
        <v>1644</v>
      </c>
      <c r="C644" s="169" t="s">
        <v>199</v>
      </c>
      <c r="D644" s="178">
        <v>44.029000000000003</v>
      </c>
    </row>
    <row r="645" spans="1:4" x14ac:dyDescent="0.3">
      <c r="A645" s="162" t="s">
        <v>1645</v>
      </c>
      <c r="B645" s="173" t="s">
        <v>1646</v>
      </c>
      <c r="C645" s="169" t="s">
        <v>396</v>
      </c>
      <c r="D645" s="178">
        <v>153.333</v>
      </c>
    </row>
    <row r="646" spans="1:4" x14ac:dyDescent="0.3">
      <c r="A646" s="162" t="s">
        <v>1975</v>
      </c>
      <c r="B646" s="173" t="s">
        <v>1976</v>
      </c>
      <c r="C646" s="169" t="s">
        <v>199</v>
      </c>
      <c r="D646" s="178">
        <v>38.649000000000001</v>
      </c>
    </row>
    <row r="647" spans="1:4" x14ac:dyDescent="0.3">
      <c r="A647" s="162" t="s">
        <v>2002</v>
      </c>
      <c r="B647" s="173" t="s">
        <v>2003</v>
      </c>
      <c r="C647" s="169" t="s">
        <v>396</v>
      </c>
      <c r="D647" s="178">
        <v>217.685</v>
      </c>
    </row>
    <row r="648" spans="1:4" x14ac:dyDescent="0.3">
      <c r="A648" s="162" t="s">
        <v>2004</v>
      </c>
      <c r="B648" s="173" t="s">
        <v>2005</v>
      </c>
      <c r="C648" s="169" t="s">
        <v>199</v>
      </c>
      <c r="D648" s="178">
        <v>49.837000000000003</v>
      </c>
    </row>
    <row r="649" spans="1:4" x14ac:dyDescent="0.3">
      <c r="A649" s="163" t="s">
        <v>1445</v>
      </c>
      <c r="B649" s="173" t="s">
        <v>1446</v>
      </c>
      <c r="C649" s="173" t="s">
        <v>204</v>
      </c>
      <c r="D649" s="178">
        <v>18.492000000000001</v>
      </c>
    </row>
    <row r="650" spans="1:4" x14ac:dyDescent="0.3">
      <c r="A650" s="162" t="s">
        <v>1447</v>
      </c>
      <c r="B650" s="173" t="s">
        <v>1448</v>
      </c>
      <c r="C650" s="169" t="s">
        <v>204</v>
      </c>
      <c r="D650" s="178">
        <v>30.437000000000001</v>
      </c>
    </row>
    <row r="651" spans="1:4" x14ac:dyDescent="0.3">
      <c r="A651" s="162" t="s">
        <v>1449</v>
      </c>
      <c r="B651" s="173" t="s">
        <v>1450</v>
      </c>
      <c r="C651" s="169" t="s">
        <v>204</v>
      </c>
      <c r="D651" s="178">
        <v>45.655999999999999</v>
      </c>
    </row>
    <row r="652" spans="1:4" x14ac:dyDescent="0.3">
      <c r="A652" s="162" t="s">
        <v>1451</v>
      </c>
      <c r="B652" s="173" t="s">
        <v>1452</v>
      </c>
      <c r="C652" s="169" t="s">
        <v>204</v>
      </c>
      <c r="D652" s="178">
        <v>7.2999999999999995E-2</v>
      </c>
    </row>
    <row r="653" spans="1:4" x14ac:dyDescent="0.3">
      <c r="A653" s="162" t="s">
        <v>1612</v>
      </c>
      <c r="B653" s="173" t="s">
        <v>1613</v>
      </c>
      <c r="C653" s="169" t="s">
        <v>204</v>
      </c>
      <c r="D653" s="178">
        <v>0.247</v>
      </c>
    </row>
    <row r="654" spans="1:4" x14ac:dyDescent="0.3">
      <c r="A654" s="162" t="s">
        <v>1453</v>
      </c>
      <c r="B654" s="173" t="s">
        <v>1454</v>
      </c>
      <c r="C654" s="169" t="s">
        <v>204</v>
      </c>
      <c r="D654" s="178">
        <v>0.185</v>
      </c>
    </row>
    <row r="655" spans="1:4" x14ac:dyDescent="0.3">
      <c r="A655" s="162" t="s">
        <v>1455</v>
      </c>
      <c r="B655" s="173" t="s">
        <v>1456</v>
      </c>
      <c r="C655" s="169" t="s">
        <v>204</v>
      </c>
      <c r="D655" s="178">
        <v>0.89200000000000002</v>
      </c>
    </row>
    <row r="656" spans="1:4" x14ac:dyDescent="0.3">
      <c r="A656" s="162" t="s">
        <v>1457</v>
      </c>
      <c r="B656" s="173" t="s">
        <v>1458</v>
      </c>
      <c r="C656" s="169" t="s">
        <v>204</v>
      </c>
      <c r="D656" s="178">
        <v>0.34</v>
      </c>
    </row>
    <row r="657" spans="1:4" x14ac:dyDescent="0.3">
      <c r="A657" s="162" t="s">
        <v>1459</v>
      </c>
      <c r="B657" s="173" t="s">
        <v>1460</v>
      </c>
      <c r="C657" s="169" t="s">
        <v>204</v>
      </c>
      <c r="D657" s="178">
        <v>0.11600000000000001</v>
      </c>
    </row>
    <row r="658" spans="1:4" x14ac:dyDescent="0.3">
      <c r="A658" s="162" t="s">
        <v>1461</v>
      </c>
      <c r="B658" s="173" t="s">
        <v>1462</v>
      </c>
      <c r="C658" s="169" t="s">
        <v>1463</v>
      </c>
      <c r="D658" s="178">
        <v>1858.61</v>
      </c>
    </row>
    <row r="659" spans="1:4" x14ac:dyDescent="0.3">
      <c r="A659" s="162" t="s">
        <v>1464</v>
      </c>
      <c r="B659" s="173" t="s">
        <v>1465</v>
      </c>
      <c r="C659" s="169" t="s">
        <v>1466</v>
      </c>
      <c r="D659" s="178">
        <v>1858.61</v>
      </c>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A1CCD-A9AD-4262-A18B-08204111ACFA}">
  <dimension ref="A1:J747"/>
  <sheetViews>
    <sheetView topLeftCell="A619" workbookViewId="0">
      <selection activeCell="D636" sqref="D636"/>
    </sheetView>
  </sheetViews>
  <sheetFormatPr defaultColWidth="9.21875" defaultRowHeight="14.4" x14ac:dyDescent="0.3"/>
  <cols>
    <col min="1" max="1" width="13.5546875" style="218" customWidth="1"/>
    <col min="2" max="2" width="34.44140625" style="219" customWidth="1"/>
    <col min="3" max="3" width="20.21875" style="218" customWidth="1"/>
    <col min="4" max="4" width="14.77734375" style="220" customWidth="1"/>
    <col min="5" max="5" width="15" style="221" customWidth="1"/>
    <col min="6" max="6" width="13.5546875" style="220" customWidth="1"/>
    <col min="7" max="7" width="13.5546875" style="221" customWidth="1"/>
    <col min="8" max="8" width="11.77734375" style="220" customWidth="1"/>
    <col min="9" max="9" width="14.5546875" style="221" customWidth="1"/>
    <col min="10" max="10" width="34.77734375" style="222" customWidth="1"/>
    <col min="257" max="257" width="13" customWidth="1"/>
    <col min="258" max="258" width="34.44140625" customWidth="1"/>
    <col min="259" max="259" width="20.21875" customWidth="1"/>
    <col min="260" max="260" width="14.77734375" customWidth="1"/>
    <col min="261" max="261" width="8.5546875" customWidth="1"/>
    <col min="262" max="262" width="13" customWidth="1"/>
    <col min="263" max="263" width="9.5546875" customWidth="1"/>
    <col min="264" max="264" width="11.77734375" customWidth="1"/>
    <col min="265" max="265" width="10.5546875" customWidth="1"/>
    <col min="266" max="266" width="34.77734375" customWidth="1"/>
    <col min="513" max="513" width="13" customWidth="1"/>
    <col min="514" max="514" width="34.44140625" customWidth="1"/>
    <col min="515" max="515" width="20.21875" customWidth="1"/>
    <col min="516" max="516" width="14.77734375" customWidth="1"/>
    <col min="517" max="517" width="8.5546875" customWidth="1"/>
    <col min="518" max="518" width="13" customWidth="1"/>
    <col min="519" max="519" width="9.5546875" customWidth="1"/>
    <col min="520" max="520" width="11.77734375" customWidth="1"/>
    <col min="521" max="521" width="10.5546875" customWidth="1"/>
    <col min="522" max="522" width="34.77734375" customWidth="1"/>
    <col min="769" max="769" width="13" customWidth="1"/>
    <col min="770" max="770" width="34.44140625" customWidth="1"/>
    <col min="771" max="771" width="20.21875" customWidth="1"/>
    <col min="772" max="772" width="14.77734375" customWidth="1"/>
    <col min="773" max="773" width="8.5546875" customWidth="1"/>
    <col min="774" max="774" width="13" customWidth="1"/>
    <col min="775" max="775" width="9.5546875" customWidth="1"/>
    <col min="776" max="776" width="11.77734375" customWidth="1"/>
    <col min="777" max="777" width="10.5546875" customWidth="1"/>
    <col min="778" max="778" width="34.77734375" customWidth="1"/>
    <col min="1025" max="1025" width="13" customWidth="1"/>
    <col min="1026" max="1026" width="34.44140625" customWidth="1"/>
    <col min="1027" max="1027" width="20.21875" customWidth="1"/>
    <col min="1028" max="1028" width="14.77734375" customWidth="1"/>
    <col min="1029" max="1029" width="8.5546875" customWidth="1"/>
    <col min="1030" max="1030" width="13" customWidth="1"/>
    <col min="1031" max="1031" width="9.5546875" customWidth="1"/>
    <col min="1032" max="1032" width="11.77734375" customWidth="1"/>
    <col min="1033" max="1033" width="10.5546875" customWidth="1"/>
    <col min="1034" max="1034" width="34.77734375" customWidth="1"/>
    <col min="1281" max="1281" width="13" customWidth="1"/>
    <col min="1282" max="1282" width="34.44140625" customWidth="1"/>
    <col min="1283" max="1283" width="20.21875" customWidth="1"/>
    <col min="1284" max="1284" width="14.77734375" customWidth="1"/>
    <col min="1285" max="1285" width="8.5546875" customWidth="1"/>
    <col min="1286" max="1286" width="13" customWidth="1"/>
    <col min="1287" max="1287" width="9.5546875" customWidth="1"/>
    <col min="1288" max="1288" width="11.77734375" customWidth="1"/>
    <col min="1289" max="1289" width="10.5546875" customWidth="1"/>
    <col min="1290" max="1290" width="34.77734375" customWidth="1"/>
    <col min="1537" max="1537" width="13" customWidth="1"/>
    <col min="1538" max="1538" width="34.44140625" customWidth="1"/>
    <col min="1539" max="1539" width="20.21875" customWidth="1"/>
    <col min="1540" max="1540" width="14.77734375" customWidth="1"/>
    <col min="1541" max="1541" width="8.5546875" customWidth="1"/>
    <col min="1542" max="1542" width="13" customWidth="1"/>
    <col min="1543" max="1543" width="9.5546875" customWidth="1"/>
    <col min="1544" max="1544" width="11.77734375" customWidth="1"/>
    <col min="1545" max="1545" width="10.5546875" customWidth="1"/>
    <col min="1546" max="1546" width="34.77734375" customWidth="1"/>
    <col min="1793" max="1793" width="13" customWidth="1"/>
    <col min="1794" max="1794" width="34.44140625" customWidth="1"/>
    <col min="1795" max="1795" width="20.21875" customWidth="1"/>
    <col min="1796" max="1796" width="14.77734375" customWidth="1"/>
    <col min="1797" max="1797" width="8.5546875" customWidth="1"/>
    <col min="1798" max="1798" width="13" customWidth="1"/>
    <col min="1799" max="1799" width="9.5546875" customWidth="1"/>
    <col min="1800" max="1800" width="11.77734375" customWidth="1"/>
    <col min="1801" max="1801" width="10.5546875" customWidth="1"/>
    <col min="1802" max="1802" width="34.77734375" customWidth="1"/>
    <col min="2049" max="2049" width="13" customWidth="1"/>
    <col min="2050" max="2050" width="34.44140625" customWidth="1"/>
    <col min="2051" max="2051" width="20.21875" customWidth="1"/>
    <col min="2052" max="2052" width="14.77734375" customWidth="1"/>
    <col min="2053" max="2053" width="8.5546875" customWidth="1"/>
    <col min="2054" max="2054" width="13" customWidth="1"/>
    <col min="2055" max="2055" width="9.5546875" customWidth="1"/>
    <col min="2056" max="2056" width="11.77734375" customWidth="1"/>
    <col min="2057" max="2057" width="10.5546875" customWidth="1"/>
    <col min="2058" max="2058" width="34.77734375" customWidth="1"/>
    <col min="2305" max="2305" width="13" customWidth="1"/>
    <col min="2306" max="2306" width="34.44140625" customWidth="1"/>
    <col min="2307" max="2307" width="20.21875" customWidth="1"/>
    <col min="2308" max="2308" width="14.77734375" customWidth="1"/>
    <col min="2309" max="2309" width="8.5546875" customWidth="1"/>
    <col min="2310" max="2310" width="13" customWidth="1"/>
    <col min="2311" max="2311" width="9.5546875" customWidth="1"/>
    <col min="2312" max="2312" width="11.77734375" customWidth="1"/>
    <col min="2313" max="2313" width="10.5546875" customWidth="1"/>
    <col min="2314" max="2314" width="34.77734375" customWidth="1"/>
    <col min="2561" max="2561" width="13" customWidth="1"/>
    <col min="2562" max="2562" width="34.44140625" customWidth="1"/>
    <col min="2563" max="2563" width="20.21875" customWidth="1"/>
    <col min="2564" max="2564" width="14.77734375" customWidth="1"/>
    <col min="2565" max="2565" width="8.5546875" customWidth="1"/>
    <col min="2566" max="2566" width="13" customWidth="1"/>
    <col min="2567" max="2567" width="9.5546875" customWidth="1"/>
    <col min="2568" max="2568" width="11.77734375" customWidth="1"/>
    <col min="2569" max="2569" width="10.5546875" customWidth="1"/>
    <col min="2570" max="2570" width="34.77734375" customWidth="1"/>
    <col min="2817" max="2817" width="13" customWidth="1"/>
    <col min="2818" max="2818" width="34.44140625" customWidth="1"/>
    <col min="2819" max="2819" width="20.21875" customWidth="1"/>
    <col min="2820" max="2820" width="14.77734375" customWidth="1"/>
    <col min="2821" max="2821" width="8.5546875" customWidth="1"/>
    <col min="2822" max="2822" width="13" customWidth="1"/>
    <col min="2823" max="2823" width="9.5546875" customWidth="1"/>
    <col min="2824" max="2824" width="11.77734375" customWidth="1"/>
    <col min="2825" max="2825" width="10.5546875" customWidth="1"/>
    <col min="2826" max="2826" width="34.77734375" customWidth="1"/>
    <col min="3073" max="3073" width="13" customWidth="1"/>
    <col min="3074" max="3074" width="34.44140625" customWidth="1"/>
    <col min="3075" max="3075" width="20.21875" customWidth="1"/>
    <col min="3076" max="3076" width="14.77734375" customWidth="1"/>
    <col min="3077" max="3077" width="8.5546875" customWidth="1"/>
    <col min="3078" max="3078" width="13" customWidth="1"/>
    <col min="3079" max="3079" width="9.5546875" customWidth="1"/>
    <col min="3080" max="3080" width="11.77734375" customWidth="1"/>
    <col min="3081" max="3081" width="10.5546875" customWidth="1"/>
    <col min="3082" max="3082" width="34.77734375" customWidth="1"/>
    <col min="3329" max="3329" width="13" customWidth="1"/>
    <col min="3330" max="3330" width="34.44140625" customWidth="1"/>
    <col min="3331" max="3331" width="20.21875" customWidth="1"/>
    <col min="3332" max="3332" width="14.77734375" customWidth="1"/>
    <col min="3333" max="3333" width="8.5546875" customWidth="1"/>
    <col min="3334" max="3334" width="13" customWidth="1"/>
    <col min="3335" max="3335" width="9.5546875" customWidth="1"/>
    <col min="3336" max="3336" width="11.77734375" customWidth="1"/>
    <col min="3337" max="3337" width="10.5546875" customWidth="1"/>
    <col min="3338" max="3338" width="34.77734375" customWidth="1"/>
    <col min="3585" max="3585" width="13" customWidth="1"/>
    <col min="3586" max="3586" width="34.44140625" customWidth="1"/>
    <col min="3587" max="3587" width="20.21875" customWidth="1"/>
    <col min="3588" max="3588" width="14.77734375" customWidth="1"/>
    <col min="3589" max="3589" width="8.5546875" customWidth="1"/>
    <col min="3590" max="3590" width="13" customWidth="1"/>
    <col min="3591" max="3591" width="9.5546875" customWidth="1"/>
    <col min="3592" max="3592" width="11.77734375" customWidth="1"/>
    <col min="3593" max="3593" width="10.5546875" customWidth="1"/>
    <col min="3594" max="3594" width="34.77734375" customWidth="1"/>
    <col min="3841" max="3841" width="13" customWidth="1"/>
    <col min="3842" max="3842" width="34.44140625" customWidth="1"/>
    <col min="3843" max="3843" width="20.21875" customWidth="1"/>
    <col min="3844" max="3844" width="14.77734375" customWidth="1"/>
    <col min="3845" max="3845" width="8.5546875" customWidth="1"/>
    <col min="3846" max="3846" width="13" customWidth="1"/>
    <col min="3847" max="3847" width="9.5546875" customWidth="1"/>
    <col min="3848" max="3848" width="11.77734375" customWidth="1"/>
    <col min="3849" max="3849" width="10.5546875" customWidth="1"/>
    <col min="3850" max="3850" width="34.77734375" customWidth="1"/>
    <col min="4097" max="4097" width="13" customWidth="1"/>
    <col min="4098" max="4098" width="34.44140625" customWidth="1"/>
    <col min="4099" max="4099" width="20.21875" customWidth="1"/>
    <col min="4100" max="4100" width="14.77734375" customWidth="1"/>
    <col min="4101" max="4101" width="8.5546875" customWidth="1"/>
    <col min="4102" max="4102" width="13" customWidth="1"/>
    <col min="4103" max="4103" width="9.5546875" customWidth="1"/>
    <col min="4104" max="4104" width="11.77734375" customWidth="1"/>
    <col min="4105" max="4105" width="10.5546875" customWidth="1"/>
    <col min="4106" max="4106" width="34.77734375" customWidth="1"/>
    <col min="4353" max="4353" width="13" customWidth="1"/>
    <col min="4354" max="4354" width="34.44140625" customWidth="1"/>
    <col min="4355" max="4355" width="20.21875" customWidth="1"/>
    <col min="4356" max="4356" width="14.77734375" customWidth="1"/>
    <col min="4357" max="4357" width="8.5546875" customWidth="1"/>
    <col min="4358" max="4358" width="13" customWidth="1"/>
    <col min="4359" max="4359" width="9.5546875" customWidth="1"/>
    <col min="4360" max="4360" width="11.77734375" customWidth="1"/>
    <col min="4361" max="4361" width="10.5546875" customWidth="1"/>
    <col min="4362" max="4362" width="34.77734375" customWidth="1"/>
    <col min="4609" max="4609" width="13" customWidth="1"/>
    <col min="4610" max="4610" width="34.44140625" customWidth="1"/>
    <col min="4611" max="4611" width="20.21875" customWidth="1"/>
    <col min="4612" max="4612" width="14.77734375" customWidth="1"/>
    <col min="4613" max="4613" width="8.5546875" customWidth="1"/>
    <col min="4614" max="4614" width="13" customWidth="1"/>
    <col min="4615" max="4615" width="9.5546875" customWidth="1"/>
    <col min="4616" max="4616" width="11.77734375" customWidth="1"/>
    <col min="4617" max="4617" width="10.5546875" customWidth="1"/>
    <col min="4618" max="4618" width="34.77734375" customWidth="1"/>
    <col min="4865" max="4865" width="13" customWidth="1"/>
    <col min="4866" max="4866" width="34.44140625" customWidth="1"/>
    <col min="4867" max="4867" width="20.21875" customWidth="1"/>
    <col min="4868" max="4868" width="14.77734375" customWidth="1"/>
    <col min="4869" max="4869" width="8.5546875" customWidth="1"/>
    <col min="4870" max="4870" width="13" customWidth="1"/>
    <col min="4871" max="4871" width="9.5546875" customWidth="1"/>
    <col min="4872" max="4872" width="11.77734375" customWidth="1"/>
    <col min="4873" max="4873" width="10.5546875" customWidth="1"/>
    <col min="4874" max="4874" width="34.77734375" customWidth="1"/>
    <col min="5121" max="5121" width="13" customWidth="1"/>
    <col min="5122" max="5122" width="34.44140625" customWidth="1"/>
    <col min="5123" max="5123" width="20.21875" customWidth="1"/>
    <col min="5124" max="5124" width="14.77734375" customWidth="1"/>
    <col min="5125" max="5125" width="8.5546875" customWidth="1"/>
    <col min="5126" max="5126" width="13" customWidth="1"/>
    <col min="5127" max="5127" width="9.5546875" customWidth="1"/>
    <col min="5128" max="5128" width="11.77734375" customWidth="1"/>
    <col min="5129" max="5129" width="10.5546875" customWidth="1"/>
    <col min="5130" max="5130" width="34.77734375" customWidth="1"/>
    <col min="5377" max="5377" width="13" customWidth="1"/>
    <col min="5378" max="5378" width="34.44140625" customWidth="1"/>
    <col min="5379" max="5379" width="20.21875" customWidth="1"/>
    <col min="5380" max="5380" width="14.77734375" customWidth="1"/>
    <col min="5381" max="5381" width="8.5546875" customWidth="1"/>
    <col min="5382" max="5382" width="13" customWidth="1"/>
    <col min="5383" max="5383" width="9.5546875" customWidth="1"/>
    <col min="5384" max="5384" width="11.77734375" customWidth="1"/>
    <col min="5385" max="5385" width="10.5546875" customWidth="1"/>
    <col min="5386" max="5386" width="34.77734375" customWidth="1"/>
    <col min="5633" max="5633" width="13" customWidth="1"/>
    <col min="5634" max="5634" width="34.44140625" customWidth="1"/>
    <col min="5635" max="5635" width="20.21875" customWidth="1"/>
    <col min="5636" max="5636" width="14.77734375" customWidth="1"/>
    <col min="5637" max="5637" width="8.5546875" customWidth="1"/>
    <col min="5638" max="5638" width="13" customWidth="1"/>
    <col min="5639" max="5639" width="9.5546875" customWidth="1"/>
    <col min="5640" max="5640" width="11.77734375" customWidth="1"/>
    <col min="5641" max="5641" width="10.5546875" customWidth="1"/>
    <col min="5642" max="5642" width="34.77734375" customWidth="1"/>
    <col min="5889" max="5889" width="13" customWidth="1"/>
    <col min="5890" max="5890" width="34.44140625" customWidth="1"/>
    <col min="5891" max="5891" width="20.21875" customWidth="1"/>
    <col min="5892" max="5892" width="14.77734375" customWidth="1"/>
    <col min="5893" max="5893" width="8.5546875" customWidth="1"/>
    <col min="5894" max="5894" width="13" customWidth="1"/>
    <col min="5895" max="5895" width="9.5546875" customWidth="1"/>
    <col min="5896" max="5896" width="11.77734375" customWidth="1"/>
    <col min="5897" max="5897" width="10.5546875" customWidth="1"/>
    <col min="5898" max="5898" width="34.77734375" customWidth="1"/>
    <col min="6145" max="6145" width="13" customWidth="1"/>
    <col min="6146" max="6146" width="34.44140625" customWidth="1"/>
    <col min="6147" max="6147" width="20.21875" customWidth="1"/>
    <col min="6148" max="6148" width="14.77734375" customWidth="1"/>
    <col min="6149" max="6149" width="8.5546875" customWidth="1"/>
    <col min="6150" max="6150" width="13" customWidth="1"/>
    <col min="6151" max="6151" width="9.5546875" customWidth="1"/>
    <col min="6152" max="6152" width="11.77734375" customWidth="1"/>
    <col min="6153" max="6153" width="10.5546875" customWidth="1"/>
    <col min="6154" max="6154" width="34.77734375" customWidth="1"/>
    <col min="6401" max="6401" width="13" customWidth="1"/>
    <col min="6402" max="6402" width="34.44140625" customWidth="1"/>
    <col min="6403" max="6403" width="20.21875" customWidth="1"/>
    <col min="6404" max="6404" width="14.77734375" customWidth="1"/>
    <col min="6405" max="6405" width="8.5546875" customWidth="1"/>
    <col min="6406" max="6406" width="13" customWidth="1"/>
    <col min="6407" max="6407" width="9.5546875" customWidth="1"/>
    <col min="6408" max="6408" width="11.77734375" customWidth="1"/>
    <col min="6409" max="6409" width="10.5546875" customWidth="1"/>
    <col min="6410" max="6410" width="34.77734375" customWidth="1"/>
    <col min="6657" max="6657" width="13" customWidth="1"/>
    <col min="6658" max="6658" width="34.44140625" customWidth="1"/>
    <col min="6659" max="6659" width="20.21875" customWidth="1"/>
    <col min="6660" max="6660" width="14.77734375" customWidth="1"/>
    <col min="6661" max="6661" width="8.5546875" customWidth="1"/>
    <col min="6662" max="6662" width="13" customWidth="1"/>
    <col min="6663" max="6663" width="9.5546875" customWidth="1"/>
    <col min="6664" max="6664" width="11.77734375" customWidth="1"/>
    <col min="6665" max="6665" width="10.5546875" customWidth="1"/>
    <col min="6666" max="6666" width="34.77734375" customWidth="1"/>
    <col min="6913" max="6913" width="13" customWidth="1"/>
    <col min="6914" max="6914" width="34.44140625" customWidth="1"/>
    <col min="6915" max="6915" width="20.21875" customWidth="1"/>
    <col min="6916" max="6916" width="14.77734375" customWidth="1"/>
    <col min="6917" max="6917" width="8.5546875" customWidth="1"/>
    <col min="6918" max="6918" width="13" customWidth="1"/>
    <col min="6919" max="6919" width="9.5546875" customWidth="1"/>
    <col min="6920" max="6920" width="11.77734375" customWidth="1"/>
    <col min="6921" max="6921" width="10.5546875" customWidth="1"/>
    <col min="6922" max="6922" width="34.77734375" customWidth="1"/>
    <col min="7169" max="7169" width="13" customWidth="1"/>
    <col min="7170" max="7170" width="34.44140625" customWidth="1"/>
    <col min="7171" max="7171" width="20.21875" customWidth="1"/>
    <col min="7172" max="7172" width="14.77734375" customWidth="1"/>
    <col min="7173" max="7173" width="8.5546875" customWidth="1"/>
    <col min="7174" max="7174" width="13" customWidth="1"/>
    <col min="7175" max="7175" width="9.5546875" customWidth="1"/>
    <col min="7176" max="7176" width="11.77734375" customWidth="1"/>
    <col min="7177" max="7177" width="10.5546875" customWidth="1"/>
    <col min="7178" max="7178" width="34.77734375" customWidth="1"/>
    <col min="7425" max="7425" width="13" customWidth="1"/>
    <col min="7426" max="7426" width="34.44140625" customWidth="1"/>
    <col min="7427" max="7427" width="20.21875" customWidth="1"/>
    <col min="7428" max="7428" width="14.77734375" customWidth="1"/>
    <col min="7429" max="7429" width="8.5546875" customWidth="1"/>
    <col min="7430" max="7430" width="13" customWidth="1"/>
    <col min="7431" max="7431" width="9.5546875" customWidth="1"/>
    <col min="7432" max="7432" width="11.77734375" customWidth="1"/>
    <col min="7433" max="7433" width="10.5546875" customWidth="1"/>
    <col min="7434" max="7434" width="34.77734375" customWidth="1"/>
    <col min="7681" max="7681" width="13" customWidth="1"/>
    <col min="7682" max="7682" width="34.44140625" customWidth="1"/>
    <col min="7683" max="7683" width="20.21875" customWidth="1"/>
    <col min="7684" max="7684" width="14.77734375" customWidth="1"/>
    <col min="7685" max="7685" width="8.5546875" customWidth="1"/>
    <col min="7686" max="7686" width="13" customWidth="1"/>
    <col min="7687" max="7687" width="9.5546875" customWidth="1"/>
    <col min="7688" max="7688" width="11.77734375" customWidth="1"/>
    <col min="7689" max="7689" width="10.5546875" customWidth="1"/>
    <col min="7690" max="7690" width="34.77734375" customWidth="1"/>
    <col min="7937" max="7937" width="13" customWidth="1"/>
    <col min="7938" max="7938" width="34.44140625" customWidth="1"/>
    <col min="7939" max="7939" width="20.21875" customWidth="1"/>
    <col min="7940" max="7940" width="14.77734375" customWidth="1"/>
    <col min="7941" max="7941" width="8.5546875" customWidth="1"/>
    <col min="7942" max="7942" width="13" customWidth="1"/>
    <col min="7943" max="7943" width="9.5546875" customWidth="1"/>
    <col min="7944" max="7944" width="11.77734375" customWidth="1"/>
    <col min="7945" max="7945" width="10.5546875" customWidth="1"/>
    <col min="7946" max="7946" width="34.77734375" customWidth="1"/>
    <col min="8193" max="8193" width="13" customWidth="1"/>
    <col min="8194" max="8194" width="34.44140625" customWidth="1"/>
    <col min="8195" max="8195" width="20.21875" customWidth="1"/>
    <col min="8196" max="8196" width="14.77734375" customWidth="1"/>
    <col min="8197" max="8197" width="8.5546875" customWidth="1"/>
    <col min="8198" max="8198" width="13" customWidth="1"/>
    <col min="8199" max="8199" width="9.5546875" customWidth="1"/>
    <col min="8200" max="8200" width="11.77734375" customWidth="1"/>
    <col min="8201" max="8201" width="10.5546875" customWidth="1"/>
    <col min="8202" max="8202" width="34.77734375" customWidth="1"/>
    <col min="8449" max="8449" width="13" customWidth="1"/>
    <col min="8450" max="8450" width="34.44140625" customWidth="1"/>
    <col min="8451" max="8451" width="20.21875" customWidth="1"/>
    <col min="8452" max="8452" width="14.77734375" customWidth="1"/>
    <col min="8453" max="8453" width="8.5546875" customWidth="1"/>
    <col min="8454" max="8454" width="13" customWidth="1"/>
    <col min="8455" max="8455" width="9.5546875" customWidth="1"/>
    <col min="8456" max="8456" width="11.77734375" customWidth="1"/>
    <col min="8457" max="8457" width="10.5546875" customWidth="1"/>
    <col min="8458" max="8458" width="34.77734375" customWidth="1"/>
    <col min="8705" max="8705" width="13" customWidth="1"/>
    <col min="8706" max="8706" width="34.44140625" customWidth="1"/>
    <col min="8707" max="8707" width="20.21875" customWidth="1"/>
    <col min="8708" max="8708" width="14.77734375" customWidth="1"/>
    <col min="8709" max="8709" width="8.5546875" customWidth="1"/>
    <col min="8710" max="8710" width="13" customWidth="1"/>
    <col min="8711" max="8711" width="9.5546875" customWidth="1"/>
    <col min="8712" max="8712" width="11.77734375" customWidth="1"/>
    <col min="8713" max="8713" width="10.5546875" customWidth="1"/>
    <col min="8714" max="8714" width="34.77734375" customWidth="1"/>
    <col min="8961" max="8961" width="13" customWidth="1"/>
    <col min="8962" max="8962" width="34.44140625" customWidth="1"/>
    <col min="8963" max="8963" width="20.21875" customWidth="1"/>
    <col min="8964" max="8964" width="14.77734375" customWidth="1"/>
    <col min="8965" max="8965" width="8.5546875" customWidth="1"/>
    <col min="8966" max="8966" width="13" customWidth="1"/>
    <col min="8967" max="8967" width="9.5546875" customWidth="1"/>
    <col min="8968" max="8968" width="11.77734375" customWidth="1"/>
    <col min="8969" max="8969" width="10.5546875" customWidth="1"/>
    <col min="8970" max="8970" width="34.77734375" customWidth="1"/>
    <col min="9217" max="9217" width="13" customWidth="1"/>
    <col min="9218" max="9218" width="34.44140625" customWidth="1"/>
    <col min="9219" max="9219" width="20.21875" customWidth="1"/>
    <col min="9220" max="9220" width="14.77734375" customWidth="1"/>
    <col min="9221" max="9221" width="8.5546875" customWidth="1"/>
    <col min="9222" max="9222" width="13" customWidth="1"/>
    <col min="9223" max="9223" width="9.5546875" customWidth="1"/>
    <col min="9224" max="9224" width="11.77734375" customWidth="1"/>
    <col min="9225" max="9225" width="10.5546875" customWidth="1"/>
    <col min="9226" max="9226" width="34.77734375" customWidth="1"/>
    <col min="9473" max="9473" width="13" customWidth="1"/>
    <col min="9474" max="9474" width="34.44140625" customWidth="1"/>
    <col min="9475" max="9475" width="20.21875" customWidth="1"/>
    <col min="9476" max="9476" width="14.77734375" customWidth="1"/>
    <col min="9477" max="9477" width="8.5546875" customWidth="1"/>
    <col min="9478" max="9478" width="13" customWidth="1"/>
    <col min="9479" max="9479" width="9.5546875" customWidth="1"/>
    <col min="9480" max="9480" width="11.77734375" customWidth="1"/>
    <col min="9481" max="9481" width="10.5546875" customWidth="1"/>
    <col min="9482" max="9482" width="34.77734375" customWidth="1"/>
    <col min="9729" max="9729" width="13" customWidth="1"/>
    <col min="9730" max="9730" width="34.44140625" customWidth="1"/>
    <col min="9731" max="9731" width="20.21875" customWidth="1"/>
    <col min="9732" max="9732" width="14.77734375" customWidth="1"/>
    <col min="9733" max="9733" width="8.5546875" customWidth="1"/>
    <col min="9734" max="9734" width="13" customWidth="1"/>
    <col min="9735" max="9735" width="9.5546875" customWidth="1"/>
    <col min="9736" max="9736" width="11.77734375" customWidth="1"/>
    <col min="9737" max="9737" width="10.5546875" customWidth="1"/>
    <col min="9738" max="9738" width="34.77734375" customWidth="1"/>
    <col min="9985" max="9985" width="13" customWidth="1"/>
    <col min="9986" max="9986" width="34.44140625" customWidth="1"/>
    <col min="9987" max="9987" width="20.21875" customWidth="1"/>
    <col min="9988" max="9988" width="14.77734375" customWidth="1"/>
    <col min="9989" max="9989" width="8.5546875" customWidth="1"/>
    <col min="9990" max="9990" width="13" customWidth="1"/>
    <col min="9991" max="9991" width="9.5546875" customWidth="1"/>
    <col min="9992" max="9992" width="11.77734375" customWidth="1"/>
    <col min="9993" max="9993" width="10.5546875" customWidth="1"/>
    <col min="9994" max="9994" width="34.77734375" customWidth="1"/>
    <col min="10241" max="10241" width="13" customWidth="1"/>
    <col min="10242" max="10242" width="34.44140625" customWidth="1"/>
    <col min="10243" max="10243" width="20.21875" customWidth="1"/>
    <col min="10244" max="10244" width="14.77734375" customWidth="1"/>
    <col min="10245" max="10245" width="8.5546875" customWidth="1"/>
    <col min="10246" max="10246" width="13" customWidth="1"/>
    <col min="10247" max="10247" width="9.5546875" customWidth="1"/>
    <col min="10248" max="10248" width="11.77734375" customWidth="1"/>
    <col min="10249" max="10249" width="10.5546875" customWidth="1"/>
    <col min="10250" max="10250" width="34.77734375" customWidth="1"/>
    <col min="10497" max="10497" width="13" customWidth="1"/>
    <col min="10498" max="10498" width="34.44140625" customWidth="1"/>
    <col min="10499" max="10499" width="20.21875" customWidth="1"/>
    <col min="10500" max="10500" width="14.77734375" customWidth="1"/>
    <col min="10501" max="10501" width="8.5546875" customWidth="1"/>
    <col min="10502" max="10502" width="13" customWidth="1"/>
    <col min="10503" max="10503" width="9.5546875" customWidth="1"/>
    <col min="10504" max="10504" width="11.77734375" customWidth="1"/>
    <col min="10505" max="10505" width="10.5546875" customWidth="1"/>
    <col min="10506" max="10506" width="34.77734375" customWidth="1"/>
    <col min="10753" max="10753" width="13" customWidth="1"/>
    <col min="10754" max="10754" width="34.44140625" customWidth="1"/>
    <col min="10755" max="10755" width="20.21875" customWidth="1"/>
    <col min="10756" max="10756" width="14.77734375" customWidth="1"/>
    <col min="10757" max="10757" width="8.5546875" customWidth="1"/>
    <col min="10758" max="10758" width="13" customWidth="1"/>
    <col min="10759" max="10759" width="9.5546875" customWidth="1"/>
    <col min="10760" max="10760" width="11.77734375" customWidth="1"/>
    <col min="10761" max="10761" width="10.5546875" customWidth="1"/>
    <col min="10762" max="10762" width="34.77734375" customWidth="1"/>
    <col min="11009" max="11009" width="13" customWidth="1"/>
    <col min="11010" max="11010" width="34.44140625" customWidth="1"/>
    <col min="11011" max="11011" width="20.21875" customWidth="1"/>
    <col min="11012" max="11012" width="14.77734375" customWidth="1"/>
    <col min="11013" max="11013" width="8.5546875" customWidth="1"/>
    <col min="11014" max="11014" width="13" customWidth="1"/>
    <col min="11015" max="11015" width="9.5546875" customWidth="1"/>
    <col min="11016" max="11016" width="11.77734375" customWidth="1"/>
    <col min="11017" max="11017" width="10.5546875" customWidth="1"/>
    <col min="11018" max="11018" width="34.77734375" customWidth="1"/>
    <col min="11265" max="11265" width="13" customWidth="1"/>
    <col min="11266" max="11266" width="34.44140625" customWidth="1"/>
    <col min="11267" max="11267" width="20.21875" customWidth="1"/>
    <col min="11268" max="11268" width="14.77734375" customWidth="1"/>
    <col min="11269" max="11269" width="8.5546875" customWidth="1"/>
    <col min="11270" max="11270" width="13" customWidth="1"/>
    <col min="11271" max="11271" width="9.5546875" customWidth="1"/>
    <col min="11272" max="11272" width="11.77734375" customWidth="1"/>
    <col min="11273" max="11273" width="10.5546875" customWidth="1"/>
    <col min="11274" max="11274" width="34.77734375" customWidth="1"/>
    <col min="11521" max="11521" width="13" customWidth="1"/>
    <col min="11522" max="11522" width="34.44140625" customWidth="1"/>
    <col min="11523" max="11523" width="20.21875" customWidth="1"/>
    <col min="11524" max="11524" width="14.77734375" customWidth="1"/>
    <col min="11525" max="11525" width="8.5546875" customWidth="1"/>
    <col min="11526" max="11526" width="13" customWidth="1"/>
    <col min="11527" max="11527" width="9.5546875" customWidth="1"/>
    <col min="11528" max="11528" width="11.77734375" customWidth="1"/>
    <col min="11529" max="11529" width="10.5546875" customWidth="1"/>
    <col min="11530" max="11530" width="34.77734375" customWidth="1"/>
    <col min="11777" max="11777" width="13" customWidth="1"/>
    <col min="11778" max="11778" width="34.44140625" customWidth="1"/>
    <col min="11779" max="11779" width="20.21875" customWidth="1"/>
    <col min="11780" max="11780" width="14.77734375" customWidth="1"/>
    <col min="11781" max="11781" width="8.5546875" customWidth="1"/>
    <col min="11782" max="11782" width="13" customWidth="1"/>
    <col min="11783" max="11783" width="9.5546875" customWidth="1"/>
    <col min="11784" max="11784" width="11.77734375" customWidth="1"/>
    <col min="11785" max="11785" width="10.5546875" customWidth="1"/>
    <col min="11786" max="11786" width="34.77734375" customWidth="1"/>
    <col min="12033" max="12033" width="13" customWidth="1"/>
    <col min="12034" max="12034" width="34.44140625" customWidth="1"/>
    <col min="12035" max="12035" width="20.21875" customWidth="1"/>
    <col min="12036" max="12036" width="14.77734375" customWidth="1"/>
    <col min="12037" max="12037" width="8.5546875" customWidth="1"/>
    <col min="12038" max="12038" width="13" customWidth="1"/>
    <col min="12039" max="12039" width="9.5546875" customWidth="1"/>
    <col min="12040" max="12040" width="11.77734375" customWidth="1"/>
    <col min="12041" max="12041" width="10.5546875" customWidth="1"/>
    <col min="12042" max="12042" width="34.77734375" customWidth="1"/>
    <col min="12289" max="12289" width="13" customWidth="1"/>
    <col min="12290" max="12290" width="34.44140625" customWidth="1"/>
    <col min="12291" max="12291" width="20.21875" customWidth="1"/>
    <col min="12292" max="12292" width="14.77734375" customWidth="1"/>
    <col min="12293" max="12293" width="8.5546875" customWidth="1"/>
    <col min="12294" max="12294" width="13" customWidth="1"/>
    <col min="12295" max="12295" width="9.5546875" customWidth="1"/>
    <col min="12296" max="12296" width="11.77734375" customWidth="1"/>
    <col min="12297" max="12297" width="10.5546875" customWidth="1"/>
    <col min="12298" max="12298" width="34.77734375" customWidth="1"/>
    <col min="12545" max="12545" width="13" customWidth="1"/>
    <col min="12546" max="12546" width="34.44140625" customWidth="1"/>
    <col min="12547" max="12547" width="20.21875" customWidth="1"/>
    <col min="12548" max="12548" width="14.77734375" customWidth="1"/>
    <col min="12549" max="12549" width="8.5546875" customWidth="1"/>
    <col min="12550" max="12550" width="13" customWidth="1"/>
    <col min="12551" max="12551" width="9.5546875" customWidth="1"/>
    <col min="12552" max="12552" width="11.77734375" customWidth="1"/>
    <col min="12553" max="12553" width="10.5546875" customWidth="1"/>
    <col min="12554" max="12554" width="34.77734375" customWidth="1"/>
    <col min="12801" max="12801" width="13" customWidth="1"/>
    <col min="12802" max="12802" width="34.44140625" customWidth="1"/>
    <col min="12803" max="12803" width="20.21875" customWidth="1"/>
    <col min="12804" max="12804" width="14.77734375" customWidth="1"/>
    <col min="12805" max="12805" width="8.5546875" customWidth="1"/>
    <col min="12806" max="12806" width="13" customWidth="1"/>
    <col min="12807" max="12807" width="9.5546875" customWidth="1"/>
    <col min="12808" max="12808" width="11.77734375" customWidth="1"/>
    <col min="12809" max="12809" width="10.5546875" customWidth="1"/>
    <col min="12810" max="12810" width="34.77734375" customWidth="1"/>
    <col min="13057" max="13057" width="13" customWidth="1"/>
    <col min="13058" max="13058" width="34.44140625" customWidth="1"/>
    <col min="13059" max="13059" width="20.21875" customWidth="1"/>
    <col min="13060" max="13060" width="14.77734375" customWidth="1"/>
    <col min="13061" max="13061" width="8.5546875" customWidth="1"/>
    <col min="13062" max="13062" width="13" customWidth="1"/>
    <col min="13063" max="13063" width="9.5546875" customWidth="1"/>
    <col min="13064" max="13064" width="11.77734375" customWidth="1"/>
    <col min="13065" max="13065" width="10.5546875" customWidth="1"/>
    <col min="13066" max="13066" width="34.77734375" customWidth="1"/>
    <col min="13313" max="13313" width="13" customWidth="1"/>
    <col min="13314" max="13314" width="34.44140625" customWidth="1"/>
    <col min="13315" max="13315" width="20.21875" customWidth="1"/>
    <col min="13316" max="13316" width="14.77734375" customWidth="1"/>
    <col min="13317" max="13317" width="8.5546875" customWidth="1"/>
    <col min="13318" max="13318" width="13" customWidth="1"/>
    <col min="13319" max="13319" width="9.5546875" customWidth="1"/>
    <col min="13320" max="13320" width="11.77734375" customWidth="1"/>
    <col min="13321" max="13321" width="10.5546875" customWidth="1"/>
    <col min="13322" max="13322" width="34.77734375" customWidth="1"/>
    <col min="13569" max="13569" width="13" customWidth="1"/>
    <col min="13570" max="13570" width="34.44140625" customWidth="1"/>
    <col min="13571" max="13571" width="20.21875" customWidth="1"/>
    <col min="13572" max="13572" width="14.77734375" customWidth="1"/>
    <col min="13573" max="13573" width="8.5546875" customWidth="1"/>
    <col min="13574" max="13574" width="13" customWidth="1"/>
    <col min="13575" max="13575" width="9.5546875" customWidth="1"/>
    <col min="13576" max="13576" width="11.77734375" customWidth="1"/>
    <col min="13577" max="13577" width="10.5546875" customWidth="1"/>
    <col min="13578" max="13578" width="34.77734375" customWidth="1"/>
    <col min="13825" max="13825" width="13" customWidth="1"/>
    <col min="13826" max="13826" width="34.44140625" customWidth="1"/>
    <col min="13827" max="13827" width="20.21875" customWidth="1"/>
    <col min="13828" max="13828" width="14.77734375" customWidth="1"/>
    <col min="13829" max="13829" width="8.5546875" customWidth="1"/>
    <col min="13830" max="13830" width="13" customWidth="1"/>
    <col min="13831" max="13831" width="9.5546875" customWidth="1"/>
    <col min="13832" max="13832" width="11.77734375" customWidth="1"/>
    <col min="13833" max="13833" width="10.5546875" customWidth="1"/>
    <col min="13834" max="13834" width="34.77734375" customWidth="1"/>
    <col min="14081" max="14081" width="13" customWidth="1"/>
    <col min="14082" max="14082" width="34.44140625" customWidth="1"/>
    <col min="14083" max="14083" width="20.21875" customWidth="1"/>
    <col min="14084" max="14084" width="14.77734375" customWidth="1"/>
    <col min="14085" max="14085" width="8.5546875" customWidth="1"/>
    <col min="14086" max="14086" width="13" customWidth="1"/>
    <col min="14087" max="14087" width="9.5546875" customWidth="1"/>
    <col min="14088" max="14088" width="11.77734375" customWidth="1"/>
    <col min="14089" max="14089" width="10.5546875" customWidth="1"/>
    <col min="14090" max="14090" width="34.77734375" customWidth="1"/>
    <col min="14337" max="14337" width="13" customWidth="1"/>
    <col min="14338" max="14338" width="34.44140625" customWidth="1"/>
    <col min="14339" max="14339" width="20.21875" customWidth="1"/>
    <col min="14340" max="14340" width="14.77734375" customWidth="1"/>
    <col min="14341" max="14341" width="8.5546875" customWidth="1"/>
    <col min="14342" max="14342" width="13" customWidth="1"/>
    <col min="14343" max="14343" width="9.5546875" customWidth="1"/>
    <col min="14344" max="14344" width="11.77734375" customWidth="1"/>
    <col min="14345" max="14345" width="10.5546875" customWidth="1"/>
    <col min="14346" max="14346" width="34.77734375" customWidth="1"/>
    <col min="14593" max="14593" width="13" customWidth="1"/>
    <col min="14594" max="14594" width="34.44140625" customWidth="1"/>
    <col min="14595" max="14595" width="20.21875" customWidth="1"/>
    <col min="14596" max="14596" width="14.77734375" customWidth="1"/>
    <col min="14597" max="14597" width="8.5546875" customWidth="1"/>
    <col min="14598" max="14598" width="13" customWidth="1"/>
    <col min="14599" max="14599" width="9.5546875" customWidth="1"/>
    <col min="14600" max="14600" width="11.77734375" customWidth="1"/>
    <col min="14601" max="14601" width="10.5546875" customWidth="1"/>
    <col min="14602" max="14602" width="34.77734375" customWidth="1"/>
    <col min="14849" max="14849" width="13" customWidth="1"/>
    <col min="14850" max="14850" width="34.44140625" customWidth="1"/>
    <col min="14851" max="14851" width="20.21875" customWidth="1"/>
    <col min="14852" max="14852" width="14.77734375" customWidth="1"/>
    <col min="14853" max="14853" width="8.5546875" customWidth="1"/>
    <col min="14854" max="14854" width="13" customWidth="1"/>
    <col min="14855" max="14855" width="9.5546875" customWidth="1"/>
    <col min="14856" max="14856" width="11.77734375" customWidth="1"/>
    <col min="14857" max="14857" width="10.5546875" customWidth="1"/>
    <col min="14858" max="14858" width="34.77734375" customWidth="1"/>
    <col min="15105" max="15105" width="13" customWidth="1"/>
    <col min="15106" max="15106" width="34.44140625" customWidth="1"/>
    <col min="15107" max="15107" width="20.21875" customWidth="1"/>
    <col min="15108" max="15108" width="14.77734375" customWidth="1"/>
    <col min="15109" max="15109" width="8.5546875" customWidth="1"/>
    <col min="15110" max="15110" width="13" customWidth="1"/>
    <col min="15111" max="15111" width="9.5546875" customWidth="1"/>
    <col min="15112" max="15112" width="11.77734375" customWidth="1"/>
    <col min="15113" max="15113" width="10.5546875" customWidth="1"/>
    <col min="15114" max="15114" width="34.77734375" customWidth="1"/>
    <col min="15361" max="15361" width="13" customWidth="1"/>
    <col min="15362" max="15362" width="34.44140625" customWidth="1"/>
    <col min="15363" max="15363" width="20.21875" customWidth="1"/>
    <col min="15364" max="15364" width="14.77734375" customWidth="1"/>
    <col min="15365" max="15365" width="8.5546875" customWidth="1"/>
    <col min="15366" max="15366" width="13" customWidth="1"/>
    <col min="15367" max="15367" width="9.5546875" customWidth="1"/>
    <col min="15368" max="15368" width="11.77734375" customWidth="1"/>
    <col min="15369" max="15369" width="10.5546875" customWidth="1"/>
    <col min="15370" max="15370" width="34.77734375" customWidth="1"/>
    <col min="15617" max="15617" width="13" customWidth="1"/>
    <col min="15618" max="15618" width="34.44140625" customWidth="1"/>
    <col min="15619" max="15619" width="20.21875" customWidth="1"/>
    <col min="15620" max="15620" width="14.77734375" customWidth="1"/>
    <col min="15621" max="15621" width="8.5546875" customWidth="1"/>
    <col min="15622" max="15622" width="13" customWidth="1"/>
    <col min="15623" max="15623" width="9.5546875" customWidth="1"/>
    <col min="15624" max="15624" width="11.77734375" customWidth="1"/>
    <col min="15625" max="15625" width="10.5546875" customWidth="1"/>
    <col min="15626" max="15626" width="34.77734375" customWidth="1"/>
    <col min="15873" max="15873" width="13" customWidth="1"/>
    <col min="15874" max="15874" width="34.44140625" customWidth="1"/>
    <col min="15875" max="15875" width="20.21875" customWidth="1"/>
    <col min="15876" max="15876" width="14.77734375" customWidth="1"/>
    <col min="15877" max="15877" width="8.5546875" customWidth="1"/>
    <col min="15878" max="15878" width="13" customWidth="1"/>
    <col min="15879" max="15879" width="9.5546875" customWidth="1"/>
    <col min="15880" max="15880" width="11.77734375" customWidth="1"/>
    <col min="15881" max="15881" width="10.5546875" customWidth="1"/>
    <col min="15882" max="15882" width="34.77734375" customWidth="1"/>
    <col min="16129" max="16129" width="13" customWidth="1"/>
    <col min="16130" max="16130" width="34.44140625" customWidth="1"/>
    <col min="16131" max="16131" width="20.21875" customWidth="1"/>
    <col min="16132" max="16132" width="14.77734375" customWidth="1"/>
    <col min="16133" max="16133" width="8.5546875" customWidth="1"/>
    <col min="16134" max="16134" width="13" customWidth="1"/>
    <col min="16135" max="16135" width="9.5546875" customWidth="1"/>
    <col min="16136" max="16136" width="11.77734375" customWidth="1"/>
    <col min="16137" max="16137" width="10.5546875" customWidth="1"/>
    <col min="16138" max="16138" width="34.77734375" customWidth="1"/>
  </cols>
  <sheetData>
    <row r="1" spans="1:10" ht="15.6" x14ac:dyDescent="0.3">
      <c r="A1" s="493" t="s">
        <v>2169</v>
      </c>
      <c r="B1" s="493"/>
      <c r="C1" s="493"/>
      <c r="D1" s="493"/>
      <c r="E1" s="493"/>
      <c r="F1" s="493"/>
      <c r="G1" s="493"/>
      <c r="H1" s="493"/>
      <c r="I1" s="493"/>
      <c r="J1" s="493"/>
    </row>
    <row r="2" spans="1:10" ht="15.6" x14ac:dyDescent="0.3">
      <c r="A2" s="493"/>
      <c r="B2" s="493"/>
      <c r="C2" s="493"/>
      <c r="D2" s="493"/>
      <c r="E2" s="493"/>
      <c r="F2" s="493"/>
      <c r="G2" s="493"/>
      <c r="H2" s="493"/>
      <c r="I2" s="493"/>
      <c r="J2" s="493"/>
    </row>
    <row r="3" spans="1:10" ht="15.6" x14ac:dyDescent="0.3">
      <c r="A3" s="494" t="s">
        <v>2170</v>
      </c>
      <c r="B3" s="494"/>
      <c r="C3" s="494"/>
      <c r="D3" s="494"/>
      <c r="E3" s="494"/>
      <c r="F3" s="494"/>
      <c r="G3" s="494"/>
      <c r="H3" s="494"/>
      <c r="I3" s="494"/>
      <c r="J3" s="494"/>
    </row>
    <row r="4" spans="1:10" ht="15.6" x14ac:dyDescent="0.3">
      <c r="A4" s="495"/>
      <c r="B4" s="495"/>
      <c r="C4" s="495"/>
      <c r="D4" s="495"/>
      <c r="E4" s="495"/>
      <c r="F4" s="495"/>
      <c r="G4" s="495"/>
      <c r="H4" s="495"/>
      <c r="I4" s="495"/>
      <c r="J4" s="495"/>
    </row>
    <row r="5" spans="1:10" ht="15.6" x14ac:dyDescent="0.3">
      <c r="A5" s="496" t="s">
        <v>2171</v>
      </c>
      <c r="B5" s="496"/>
      <c r="C5" s="496"/>
      <c r="D5" s="496"/>
      <c r="E5" s="496"/>
      <c r="F5" s="496"/>
      <c r="G5" s="496"/>
      <c r="H5" s="496"/>
      <c r="I5" s="496"/>
      <c r="J5" s="496"/>
    </row>
    <row r="6" spans="1:10" x14ac:dyDescent="0.3">
      <c r="A6" s="497" t="s">
        <v>2172</v>
      </c>
      <c r="B6" s="497"/>
      <c r="C6" s="497"/>
      <c r="D6" s="497"/>
      <c r="E6" s="497"/>
      <c r="F6" s="497"/>
      <c r="G6" s="497"/>
      <c r="H6" s="497"/>
      <c r="I6" s="497"/>
      <c r="J6" s="497"/>
    </row>
    <row r="7" spans="1:10" x14ac:dyDescent="0.3">
      <c r="A7" s="497"/>
      <c r="B7" s="497"/>
      <c r="C7" s="497"/>
      <c r="D7" s="497"/>
      <c r="E7" s="497"/>
      <c r="F7" s="497"/>
      <c r="G7" s="497"/>
      <c r="H7" s="497"/>
      <c r="I7" s="497"/>
      <c r="J7" s="497"/>
    </row>
    <row r="8" spans="1:10" ht="15.6" x14ac:dyDescent="0.3">
      <c r="A8" s="492"/>
      <c r="B8" s="492"/>
      <c r="C8" s="492"/>
      <c r="D8" s="492"/>
      <c r="E8" s="492"/>
      <c r="F8" s="492"/>
      <c r="G8" s="492"/>
      <c r="H8" s="492"/>
      <c r="I8" s="492"/>
      <c r="J8" s="492"/>
    </row>
    <row r="9" spans="1:10" x14ac:dyDescent="0.3">
      <c r="A9" s="226" t="s">
        <v>201</v>
      </c>
      <c r="B9" s="227" t="s">
        <v>202</v>
      </c>
      <c r="C9" s="228" t="s">
        <v>196</v>
      </c>
      <c r="D9" s="229" t="s">
        <v>197</v>
      </c>
      <c r="E9" s="230" t="s">
        <v>2173</v>
      </c>
      <c r="F9" s="231" t="s">
        <v>2174</v>
      </c>
      <c r="G9" s="230" t="s">
        <v>2175</v>
      </c>
      <c r="H9" s="231" t="s">
        <v>2176</v>
      </c>
      <c r="I9" s="232" t="s">
        <v>2177</v>
      </c>
      <c r="J9" s="233" t="s">
        <v>194</v>
      </c>
    </row>
    <row r="10" spans="1:10" x14ac:dyDescent="0.3">
      <c r="A10" s="223">
        <v>90371</v>
      </c>
      <c r="B10" s="199" t="s">
        <v>203</v>
      </c>
      <c r="C10" s="198" t="s">
        <v>204</v>
      </c>
      <c r="D10" s="200">
        <v>128.05099999999999</v>
      </c>
      <c r="E10" s="201"/>
      <c r="F10" s="202"/>
      <c r="G10" s="201"/>
      <c r="H10" s="202"/>
      <c r="I10" s="203"/>
      <c r="J10" s="204"/>
    </row>
    <row r="11" spans="1:10" x14ac:dyDescent="0.3">
      <c r="A11" s="223">
        <v>90375</v>
      </c>
      <c r="B11" s="199" t="s">
        <v>205</v>
      </c>
      <c r="C11" s="198" t="s">
        <v>206</v>
      </c>
      <c r="D11" s="200">
        <v>278.23599999999999</v>
      </c>
      <c r="E11" s="201"/>
      <c r="F11" s="202"/>
      <c r="G11" s="201"/>
      <c r="H11" s="202"/>
      <c r="I11" s="203"/>
      <c r="J11" s="204"/>
    </row>
    <row r="12" spans="1:10" x14ac:dyDescent="0.3">
      <c r="A12" s="223">
        <v>90376</v>
      </c>
      <c r="B12" s="199" t="s">
        <v>207</v>
      </c>
      <c r="C12" s="198" t="s">
        <v>206</v>
      </c>
      <c r="D12" s="200">
        <v>320.86200000000002</v>
      </c>
      <c r="E12" s="201"/>
      <c r="F12" s="202"/>
      <c r="G12" s="201"/>
      <c r="H12" s="202"/>
      <c r="I12" s="203"/>
      <c r="J12" s="204"/>
    </row>
    <row r="13" spans="1:10" x14ac:dyDescent="0.3">
      <c r="A13" s="223">
        <v>90377</v>
      </c>
      <c r="B13" s="199" t="s">
        <v>2006</v>
      </c>
      <c r="C13" s="198" t="s">
        <v>206</v>
      </c>
      <c r="D13" s="200">
        <v>247.286</v>
      </c>
      <c r="E13" s="201"/>
      <c r="F13" s="202"/>
      <c r="G13" s="201"/>
      <c r="H13" s="202"/>
      <c r="I13" s="203"/>
      <c r="J13" s="204"/>
    </row>
    <row r="14" spans="1:10" x14ac:dyDescent="0.3">
      <c r="A14" s="223">
        <v>90586</v>
      </c>
      <c r="B14" s="199" t="s">
        <v>210</v>
      </c>
      <c r="C14" s="198" t="s">
        <v>211</v>
      </c>
      <c r="D14" s="200">
        <v>143.20500000000001</v>
      </c>
      <c r="E14" s="201"/>
      <c r="F14" s="205"/>
      <c r="G14" s="201"/>
      <c r="H14" s="202"/>
      <c r="I14" s="203"/>
      <c r="J14" s="204"/>
    </row>
    <row r="15" spans="1:10" x14ac:dyDescent="0.3">
      <c r="A15" s="223">
        <v>90632</v>
      </c>
      <c r="B15" s="199" t="s">
        <v>212</v>
      </c>
      <c r="C15" s="198" t="s">
        <v>204</v>
      </c>
      <c r="D15" s="200">
        <v>70.168999999999997</v>
      </c>
      <c r="E15" s="201"/>
      <c r="F15" s="205"/>
      <c r="G15" s="201"/>
      <c r="H15" s="202"/>
      <c r="I15" s="203"/>
      <c r="J15" s="204"/>
    </row>
    <row r="16" spans="1:10" ht="40.200000000000003" x14ac:dyDescent="0.3">
      <c r="A16" s="223">
        <v>90662</v>
      </c>
      <c r="B16" s="199" t="s">
        <v>217</v>
      </c>
      <c r="C16" s="198" t="s">
        <v>216</v>
      </c>
      <c r="D16" s="200">
        <v>69.941000000000003</v>
      </c>
      <c r="E16" s="201">
        <v>95</v>
      </c>
      <c r="F16" s="200">
        <v>69.941000000000003</v>
      </c>
      <c r="G16" s="201"/>
      <c r="H16" s="202"/>
      <c r="I16" s="203"/>
      <c r="J16" s="204" t="s">
        <v>2178</v>
      </c>
    </row>
    <row r="17" spans="1:10" x14ac:dyDescent="0.3">
      <c r="A17" s="223">
        <v>90670</v>
      </c>
      <c r="B17" s="199" t="s">
        <v>218</v>
      </c>
      <c r="C17" s="198" t="s">
        <v>216</v>
      </c>
      <c r="D17" s="200">
        <v>257.98865000000001</v>
      </c>
      <c r="E17" s="201">
        <v>95</v>
      </c>
      <c r="F17" s="200">
        <v>257.98865000000001</v>
      </c>
      <c r="G17" s="201"/>
      <c r="H17" s="202"/>
      <c r="I17" s="203"/>
      <c r="J17" s="204"/>
    </row>
    <row r="18" spans="1:10" x14ac:dyDescent="0.3">
      <c r="A18" s="223">
        <v>90671</v>
      </c>
      <c r="B18" s="199" t="s">
        <v>2007</v>
      </c>
      <c r="C18" s="206" t="s">
        <v>1274</v>
      </c>
      <c r="D18" s="200">
        <v>246.19534999999999</v>
      </c>
      <c r="E18" s="201">
        <v>95</v>
      </c>
      <c r="F18" s="200">
        <v>246.19534999999999</v>
      </c>
      <c r="G18" s="201"/>
      <c r="H18" s="202"/>
      <c r="I18" s="203"/>
      <c r="J18" s="204"/>
    </row>
    <row r="19" spans="1:10" ht="40.200000000000003" x14ac:dyDescent="0.3">
      <c r="A19" s="223">
        <v>90672</v>
      </c>
      <c r="B19" s="199" t="s">
        <v>1547</v>
      </c>
      <c r="C19" s="198" t="s">
        <v>1548</v>
      </c>
      <c r="D19" s="200">
        <v>26.876000000000001</v>
      </c>
      <c r="E19" s="201">
        <v>95</v>
      </c>
      <c r="F19" s="200">
        <v>26.876000000000001</v>
      </c>
      <c r="G19" s="201"/>
      <c r="H19" s="202"/>
      <c r="I19" s="203"/>
      <c r="J19" s="204" t="s">
        <v>2178</v>
      </c>
    </row>
    <row r="20" spans="1:10" ht="40.200000000000003" x14ac:dyDescent="0.3">
      <c r="A20" s="224">
        <v>90674</v>
      </c>
      <c r="B20" s="199" t="s">
        <v>219</v>
      </c>
      <c r="C20" s="208" t="s">
        <v>216</v>
      </c>
      <c r="D20" s="200">
        <v>32.277999999999999</v>
      </c>
      <c r="E20" s="201">
        <v>95</v>
      </c>
      <c r="F20" s="200">
        <v>32.277999999999999</v>
      </c>
      <c r="G20" s="209"/>
      <c r="H20" s="200"/>
      <c r="I20" s="203"/>
      <c r="J20" s="204" t="s">
        <v>2178</v>
      </c>
    </row>
    <row r="21" spans="1:10" x14ac:dyDescent="0.3">
      <c r="A21" s="223">
        <v>90675</v>
      </c>
      <c r="B21" s="199" t="s">
        <v>220</v>
      </c>
      <c r="C21" s="198" t="s">
        <v>204</v>
      </c>
      <c r="D21" s="200">
        <v>355.21699999999998</v>
      </c>
      <c r="E21" s="201"/>
      <c r="F21" s="205"/>
      <c r="G21" s="201"/>
      <c r="H21" s="202"/>
      <c r="I21" s="203"/>
      <c r="J21" s="204"/>
    </row>
    <row r="22" spans="1:10" x14ac:dyDescent="0.3">
      <c r="A22" s="223">
        <v>90677</v>
      </c>
      <c r="B22" s="199" t="s">
        <v>2008</v>
      </c>
      <c r="C22" s="198" t="s">
        <v>216</v>
      </c>
      <c r="D22" s="200">
        <v>283.71654999999998</v>
      </c>
      <c r="E22" s="201">
        <v>95</v>
      </c>
      <c r="F22" s="200">
        <v>283.71654999999998</v>
      </c>
      <c r="G22" s="201"/>
      <c r="H22" s="202"/>
      <c r="I22" s="203"/>
      <c r="J22" s="204"/>
    </row>
    <row r="23" spans="1:10" ht="40.200000000000003" x14ac:dyDescent="0.3">
      <c r="A23" s="223">
        <v>90682</v>
      </c>
      <c r="B23" s="199" t="s">
        <v>221</v>
      </c>
      <c r="C23" s="208" t="s">
        <v>216</v>
      </c>
      <c r="D23" s="200">
        <v>69.941000000000003</v>
      </c>
      <c r="E23" s="201">
        <v>95</v>
      </c>
      <c r="F23" s="200">
        <v>69.941000000000003</v>
      </c>
      <c r="G23" s="201"/>
      <c r="H23" s="202"/>
      <c r="I23" s="203"/>
      <c r="J23" s="204" t="s">
        <v>2178</v>
      </c>
    </row>
    <row r="24" spans="1:10" ht="40.200000000000003" x14ac:dyDescent="0.3">
      <c r="A24" s="224">
        <v>90686</v>
      </c>
      <c r="B24" s="199" t="s">
        <v>224</v>
      </c>
      <c r="C24" s="207" t="s">
        <v>214</v>
      </c>
      <c r="D24" s="200">
        <v>21.518000000000001</v>
      </c>
      <c r="E24" s="201">
        <v>95</v>
      </c>
      <c r="F24" s="200">
        <v>21.518000000000001</v>
      </c>
      <c r="G24" s="210"/>
      <c r="H24" s="200"/>
      <c r="I24" s="203"/>
      <c r="J24" s="204" t="s">
        <v>2178</v>
      </c>
    </row>
    <row r="25" spans="1:10" ht="40.200000000000003" x14ac:dyDescent="0.3">
      <c r="A25" s="223">
        <v>90687</v>
      </c>
      <c r="B25" s="199" t="s">
        <v>225</v>
      </c>
      <c r="C25" s="198" t="s">
        <v>226</v>
      </c>
      <c r="D25" s="200">
        <v>10.241</v>
      </c>
      <c r="E25" s="201">
        <v>95</v>
      </c>
      <c r="F25" s="200">
        <v>10.241</v>
      </c>
      <c r="G25" s="201"/>
      <c r="H25" s="202"/>
      <c r="I25" s="203"/>
      <c r="J25" s="204" t="s">
        <v>2179</v>
      </c>
    </row>
    <row r="26" spans="1:10" ht="40.200000000000003" x14ac:dyDescent="0.3">
      <c r="A26" s="224">
        <v>90688</v>
      </c>
      <c r="B26" s="199" t="s">
        <v>227</v>
      </c>
      <c r="C26" s="207" t="s">
        <v>216</v>
      </c>
      <c r="D26" s="200">
        <v>20.481999999999999</v>
      </c>
      <c r="E26" s="201">
        <v>95</v>
      </c>
      <c r="F26" s="200">
        <v>20.481999999999999</v>
      </c>
      <c r="G26" s="210"/>
      <c r="H26" s="200"/>
      <c r="I26" s="203"/>
      <c r="J26" s="204" t="s">
        <v>2179</v>
      </c>
    </row>
    <row r="27" spans="1:10" ht="40.200000000000003" x14ac:dyDescent="0.3">
      <c r="A27" s="223">
        <v>90694</v>
      </c>
      <c r="B27" s="199" t="s">
        <v>1942</v>
      </c>
      <c r="C27" s="198" t="s">
        <v>216</v>
      </c>
      <c r="D27" s="200">
        <v>71.682000000000002</v>
      </c>
      <c r="E27" s="201">
        <v>95</v>
      </c>
      <c r="F27" s="200">
        <v>71.682000000000002</v>
      </c>
      <c r="G27" s="201"/>
      <c r="H27" s="202"/>
      <c r="I27" s="203"/>
      <c r="J27" s="204" t="s">
        <v>2179</v>
      </c>
    </row>
    <row r="28" spans="1:10" x14ac:dyDescent="0.3">
      <c r="A28" s="223">
        <v>90714</v>
      </c>
      <c r="B28" s="199" t="s">
        <v>229</v>
      </c>
      <c r="C28" s="198" t="s">
        <v>216</v>
      </c>
      <c r="D28" s="200">
        <v>27.780999999999999</v>
      </c>
      <c r="E28" s="201"/>
      <c r="F28" s="205"/>
      <c r="G28" s="201"/>
      <c r="H28" s="202"/>
      <c r="I28" s="203"/>
      <c r="J28" s="204"/>
    </row>
    <row r="29" spans="1:10" x14ac:dyDescent="0.3">
      <c r="A29" s="223">
        <v>90715</v>
      </c>
      <c r="B29" s="199" t="s">
        <v>230</v>
      </c>
      <c r="C29" s="198" t="s">
        <v>216</v>
      </c>
      <c r="D29" s="200">
        <v>37.497999999999998</v>
      </c>
      <c r="E29" s="201"/>
      <c r="F29" s="205"/>
      <c r="G29" s="201"/>
      <c r="H29" s="202"/>
      <c r="I29" s="203"/>
      <c r="J29" s="204"/>
    </row>
    <row r="30" spans="1:10" x14ac:dyDescent="0.3">
      <c r="A30" s="223">
        <v>90732</v>
      </c>
      <c r="B30" s="199" t="s">
        <v>231</v>
      </c>
      <c r="C30" s="198" t="s">
        <v>216</v>
      </c>
      <c r="D30" s="200">
        <v>133.47215</v>
      </c>
      <c r="E30" s="201">
        <v>95</v>
      </c>
      <c r="F30" s="200">
        <v>133.47215</v>
      </c>
      <c r="G30" s="201"/>
      <c r="H30" s="202"/>
      <c r="I30" s="203"/>
      <c r="J30" s="204"/>
    </row>
    <row r="31" spans="1:10" x14ac:dyDescent="0.3">
      <c r="A31" s="223">
        <v>90739</v>
      </c>
      <c r="B31" s="199" t="s">
        <v>232</v>
      </c>
      <c r="C31" s="198" t="s">
        <v>237</v>
      </c>
      <c r="D31" s="200">
        <v>152.07599999999999</v>
      </c>
      <c r="E31" s="201">
        <v>95</v>
      </c>
      <c r="F31" s="200">
        <v>152.07599999999999</v>
      </c>
      <c r="G31" s="201"/>
      <c r="H31" s="202"/>
      <c r="I31" s="203"/>
      <c r="J31" s="204"/>
    </row>
    <row r="32" spans="1:10" x14ac:dyDescent="0.3">
      <c r="A32" s="223">
        <v>90740</v>
      </c>
      <c r="B32" s="199" t="s">
        <v>234</v>
      </c>
      <c r="C32" s="198" t="s">
        <v>235</v>
      </c>
      <c r="D32" s="200">
        <v>146.32900000000001</v>
      </c>
      <c r="E32" s="201">
        <v>95</v>
      </c>
      <c r="F32" s="200">
        <v>146.32900000000001</v>
      </c>
      <c r="G32" s="201"/>
      <c r="H32" s="202"/>
      <c r="I32" s="203"/>
      <c r="J32" s="204"/>
    </row>
    <row r="33" spans="1:10" x14ac:dyDescent="0.3">
      <c r="A33" s="223">
        <v>90743</v>
      </c>
      <c r="B33" s="199" t="s">
        <v>2180</v>
      </c>
      <c r="C33" s="198" t="s">
        <v>237</v>
      </c>
      <c r="D33" s="200">
        <v>73.847300000000004</v>
      </c>
      <c r="E33" s="201">
        <v>95</v>
      </c>
      <c r="F33" s="200">
        <v>73.847300000000004</v>
      </c>
      <c r="G33" s="201"/>
      <c r="H33" s="202"/>
      <c r="I33" s="203"/>
      <c r="J33" s="204"/>
    </row>
    <row r="34" spans="1:10" x14ac:dyDescent="0.3">
      <c r="A34" s="223">
        <v>90744</v>
      </c>
      <c r="B34" s="199" t="s">
        <v>236</v>
      </c>
      <c r="C34" s="198" t="s">
        <v>237</v>
      </c>
      <c r="D34" s="200">
        <v>29.894600000000001</v>
      </c>
      <c r="E34" s="201">
        <v>95</v>
      </c>
      <c r="F34" s="200">
        <v>29.894600000000001</v>
      </c>
      <c r="G34" s="201"/>
      <c r="H34" s="202"/>
      <c r="I34" s="203"/>
      <c r="J34" s="204"/>
    </row>
    <row r="35" spans="1:10" x14ac:dyDescent="0.3">
      <c r="A35" s="223">
        <v>90746</v>
      </c>
      <c r="B35" s="199" t="s">
        <v>238</v>
      </c>
      <c r="C35" s="198" t="s">
        <v>239</v>
      </c>
      <c r="D35" s="200">
        <v>70.376000000000005</v>
      </c>
      <c r="E35" s="201">
        <v>95</v>
      </c>
      <c r="F35" s="200">
        <v>70.376000000000005</v>
      </c>
      <c r="G35" s="201"/>
      <c r="H35" s="202"/>
      <c r="I35" s="203"/>
      <c r="J35" s="204"/>
    </row>
    <row r="36" spans="1:10" x14ac:dyDescent="0.3">
      <c r="A36" s="223">
        <v>90747</v>
      </c>
      <c r="B36" s="199" t="s">
        <v>240</v>
      </c>
      <c r="C36" s="198" t="s">
        <v>235</v>
      </c>
      <c r="D36" s="200">
        <v>140.75200000000001</v>
      </c>
      <c r="E36" s="201">
        <v>95</v>
      </c>
      <c r="F36" s="200">
        <v>140.75200000000001</v>
      </c>
      <c r="G36" s="201"/>
      <c r="H36" s="202"/>
      <c r="I36" s="203"/>
      <c r="J36" s="204"/>
    </row>
    <row r="37" spans="1:10" ht="40.200000000000003" x14ac:dyDescent="0.3">
      <c r="A37" s="223">
        <v>90756</v>
      </c>
      <c r="B37" s="199" t="s">
        <v>241</v>
      </c>
      <c r="C37" s="208" t="s">
        <v>216</v>
      </c>
      <c r="D37" s="200">
        <v>30.581</v>
      </c>
      <c r="E37" s="201">
        <v>95</v>
      </c>
      <c r="F37" s="200">
        <v>30.581</v>
      </c>
      <c r="G37" s="201"/>
      <c r="H37" s="202"/>
      <c r="I37" s="203"/>
      <c r="J37" s="204" t="s">
        <v>2178</v>
      </c>
    </row>
    <row r="38" spans="1:10" x14ac:dyDescent="0.3">
      <c r="A38" s="223">
        <v>90759</v>
      </c>
      <c r="B38" s="199" t="s">
        <v>2094</v>
      </c>
      <c r="C38" s="198" t="s">
        <v>834</v>
      </c>
      <c r="D38" s="200">
        <v>73.814999999999998</v>
      </c>
      <c r="E38" s="201">
        <v>95</v>
      </c>
      <c r="F38" s="200">
        <v>73.814999999999998</v>
      </c>
      <c r="G38" s="201"/>
      <c r="H38" s="202"/>
      <c r="I38" s="203"/>
      <c r="J38" s="204"/>
    </row>
    <row r="39" spans="1:10" x14ac:dyDescent="0.3">
      <c r="A39" s="223" t="s">
        <v>1549</v>
      </c>
      <c r="B39" s="199" t="s">
        <v>1550</v>
      </c>
      <c r="C39" s="198" t="s">
        <v>254</v>
      </c>
      <c r="D39" s="200">
        <v>0.14199999999999999</v>
      </c>
      <c r="E39" s="201"/>
      <c r="F39" s="202"/>
      <c r="G39" s="201"/>
      <c r="H39" s="202"/>
      <c r="I39" s="203"/>
      <c r="J39" s="203"/>
    </row>
    <row r="40" spans="1:10" x14ac:dyDescent="0.3">
      <c r="A40" s="223" t="s">
        <v>242</v>
      </c>
      <c r="B40" s="199" t="s">
        <v>243</v>
      </c>
      <c r="C40" s="198" t="s">
        <v>204</v>
      </c>
      <c r="D40" s="200">
        <v>1.4239999999999999</v>
      </c>
      <c r="E40" s="201"/>
      <c r="F40" s="202"/>
      <c r="G40" s="201"/>
      <c r="H40" s="202"/>
      <c r="I40" s="203"/>
      <c r="J40" s="204"/>
    </row>
    <row r="41" spans="1:10" x14ac:dyDescent="0.3">
      <c r="A41" s="223" t="s">
        <v>244</v>
      </c>
      <c r="B41" s="199" t="s">
        <v>245</v>
      </c>
      <c r="C41" s="198" t="s">
        <v>204</v>
      </c>
      <c r="D41" s="200">
        <v>1.843</v>
      </c>
      <c r="E41" s="201"/>
      <c r="F41" s="202"/>
      <c r="G41" s="201"/>
      <c r="H41" s="202"/>
      <c r="I41" s="203"/>
      <c r="J41" s="204"/>
    </row>
    <row r="42" spans="1:10" x14ac:dyDescent="0.3">
      <c r="A42" s="223" t="s">
        <v>246</v>
      </c>
      <c r="B42" s="199" t="s">
        <v>247</v>
      </c>
      <c r="C42" s="198" t="s">
        <v>204</v>
      </c>
      <c r="D42" s="200">
        <v>1.8080000000000001</v>
      </c>
      <c r="E42" s="201"/>
      <c r="F42" s="202"/>
      <c r="G42" s="201"/>
      <c r="H42" s="202"/>
      <c r="I42" s="203"/>
      <c r="J42" s="204"/>
    </row>
    <row r="43" spans="1:10" x14ac:dyDescent="0.3">
      <c r="A43" s="223" t="s">
        <v>248</v>
      </c>
      <c r="B43" s="199" t="s">
        <v>249</v>
      </c>
      <c r="C43" s="198" t="s">
        <v>204</v>
      </c>
      <c r="D43" s="200">
        <v>1.581</v>
      </c>
      <c r="E43" s="201"/>
      <c r="F43" s="202"/>
      <c r="G43" s="201"/>
      <c r="H43" s="202"/>
      <c r="I43" s="203"/>
      <c r="J43" s="204"/>
    </row>
    <row r="44" spans="1:10" x14ac:dyDescent="0.3">
      <c r="A44" s="225" t="s">
        <v>250</v>
      </c>
      <c r="B44" s="199" t="s">
        <v>251</v>
      </c>
      <c r="C44" s="206" t="s">
        <v>204</v>
      </c>
      <c r="D44" s="200">
        <v>14.747999999999999</v>
      </c>
      <c r="E44" s="201"/>
      <c r="F44" s="202"/>
      <c r="G44" s="201"/>
      <c r="H44" s="202"/>
      <c r="I44" s="203"/>
      <c r="J44" s="204"/>
    </row>
    <row r="45" spans="1:10" x14ac:dyDescent="0.3">
      <c r="A45" s="223" t="s">
        <v>252</v>
      </c>
      <c r="B45" s="199" t="s">
        <v>253</v>
      </c>
      <c r="C45" s="205" t="s">
        <v>254</v>
      </c>
      <c r="D45" s="200">
        <v>0.33200000000000002</v>
      </c>
      <c r="E45" s="201"/>
      <c r="F45" s="202"/>
      <c r="G45" s="201"/>
      <c r="H45" s="202"/>
      <c r="I45" s="203"/>
      <c r="J45" s="204"/>
    </row>
    <row r="46" spans="1:10" x14ac:dyDescent="0.3">
      <c r="A46" s="224" t="s">
        <v>255</v>
      </c>
      <c r="B46" s="199" t="s">
        <v>256</v>
      </c>
      <c r="C46" s="207" t="s">
        <v>257</v>
      </c>
      <c r="D46" s="200">
        <v>1230.8399999999999</v>
      </c>
      <c r="E46" s="210"/>
      <c r="F46" s="200"/>
      <c r="G46" s="210"/>
      <c r="H46" s="200"/>
      <c r="I46" s="210"/>
      <c r="J46" s="211"/>
    </row>
    <row r="47" spans="1:10" ht="27" x14ac:dyDescent="0.3">
      <c r="A47" s="224" t="s">
        <v>258</v>
      </c>
      <c r="B47" s="199" t="s">
        <v>259</v>
      </c>
      <c r="C47" s="207" t="s">
        <v>260</v>
      </c>
      <c r="D47" s="200" t="s">
        <v>1551</v>
      </c>
      <c r="E47" s="210"/>
      <c r="F47" s="200"/>
      <c r="G47" s="210"/>
      <c r="H47" s="200"/>
      <c r="I47" s="210"/>
      <c r="J47" s="204" t="s">
        <v>2181</v>
      </c>
    </row>
    <row r="48" spans="1:10" x14ac:dyDescent="0.3">
      <c r="A48" s="223" t="s">
        <v>1552</v>
      </c>
      <c r="B48" s="199" t="s">
        <v>1553</v>
      </c>
      <c r="C48" s="198" t="s">
        <v>198</v>
      </c>
      <c r="D48" s="200">
        <v>3.68</v>
      </c>
      <c r="E48" s="201"/>
      <c r="F48" s="202"/>
      <c r="G48" s="201"/>
      <c r="H48" s="202"/>
      <c r="I48" s="203"/>
      <c r="J48" s="204"/>
    </row>
    <row r="49" spans="1:10" x14ac:dyDescent="0.3">
      <c r="A49" s="223" t="s">
        <v>1554</v>
      </c>
      <c r="B49" s="199" t="s">
        <v>1555</v>
      </c>
      <c r="C49" s="198" t="s">
        <v>198</v>
      </c>
      <c r="D49" s="200">
        <v>1.054</v>
      </c>
      <c r="E49" s="201"/>
      <c r="F49" s="202"/>
      <c r="G49" s="201"/>
      <c r="H49" s="202"/>
      <c r="I49" s="203"/>
      <c r="J49" s="204"/>
    </row>
    <row r="50" spans="1:10" x14ac:dyDescent="0.3">
      <c r="A50" s="223" t="s">
        <v>261</v>
      </c>
      <c r="B50" s="199" t="s">
        <v>262</v>
      </c>
      <c r="C50" s="205" t="s">
        <v>199</v>
      </c>
      <c r="D50" s="200">
        <v>43.497999999999998</v>
      </c>
      <c r="E50" s="201"/>
      <c r="F50" s="202"/>
      <c r="G50" s="201"/>
      <c r="H50" s="202"/>
      <c r="I50" s="203"/>
      <c r="J50" s="204" t="s">
        <v>2182</v>
      </c>
    </row>
    <row r="51" spans="1:10" x14ac:dyDescent="0.3">
      <c r="A51" s="224" t="s">
        <v>2183</v>
      </c>
      <c r="B51" s="199" t="s">
        <v>2184</v>
      </c>
      <c r="C51" s="207" t="s">
        <v>199</v>
      </c>
      <c r="D51" s="200">
        <v>0.10100000000000001</v>
      </c>
      <c r="E51" s="210"/>
      <c r="F51" s="200"/>
      <c r="G51" s="210"/>
      <c r="H51" s="200"/>
      <c r="I51" s="210"/>
      <c r="J51" s="212" t="s">
        <v>2185</v>
      </c>
    </row>
    <row r="52" spans="1:10" x14ac:dyDescent="0.3">
      <c r="A52" s="223" t="s">
        <v>265</v>
      </c>
      <c r="B52" s="199" t="s">
        <v>266</v>
      </c>
      <c r="C52" s="198" t="s">
        <v>257</v>
      </c>
      <c r="D52" s="200">
        <v>0.98899999999999999</v>
      </c>
      <c r="E52" s="201"/>
      <c r="F52" s="202"/>
      <c r="G52" s="201"/>
      <c r="H52" s="205"/>
      <c r="I52" s="203"/>
      <c r="J52" s="204"/>
    </row>
    <row r="53" spans="1:10" x14ac:dyDescent="0.3">
      <c r="A53" s="223" t="s">
        <v>267</v>
      </c>
      <c r="B53" s="199" t="s">
        <v>268</v>
      </c>
      <c r="C53" s="198" t="s">
        <v>200</v>
      </c>
      <c r="D53" s="200">
        <v>0.05</v>
      </c>
      <c r="E53" s="201"/>
      <c r="F53" s="202"/>
      <c r="G53" s="201"/>
      <c r="H53" s="205"/>
      <c r="I53" s="203"/>
      <c r="J53" s="204"/>
    </row>
    <row r="54" spans="1:10" x14ac:dyDescent="0.3">
      <c r="A54" s="224" t="s">
        <v>2186</v>
      </c>
      <c r="B54" s="199" t="s">
        <v>2187</v>
      </c>
      <c r="C54" s="207" t="s">
        <v>199</v>
      </c>
      <c r="D54" s="200">
        <v>0.13900000000000001</v>
      </c>
      <c r="E54" s="210"/>
      <c r="F54" s="200"/>
      <c r="G54" s="210"/>
      <c r="H54" s="200"/>
      <c r="I54" s="210"/>
      <c r="J54" s="212" t="s">
        <v>2185</v>
      </c>
    </row>
    <row r="55" spans="1:10" x14ac:dyDescent="0.3">
      <c r="A55" s="224" t="s">
        <v>2188</v>
      </c>
      <c r="B55" s="199" t="s">
        <v>2189</v>
      </c>
      <c r="C55" s="207" t="s">
        <v>199</v>
      </c>
      <c r="D55" s="200">
        <v>4.9000000000000002E-2</v>
      </c>
      <c r="E55" s="210"/>
      <c r="F55" s="200"/>
      <c r="G55" s="210"/>
      <c r="H55" s="200"/>
      <c r="I55" s="210"/>
      <c r="J55" s="212" t="s">
        <v>2185</v>
      </c>
    </row>
    <row r="56" spans="1:10" x14ac:dyDescent="0.3">
      <c r="A56" s="223" t="s">
        <v>269</v>
      </c>
      <c r="B56" s="199" t="s">
        <v>270</v>
      </c>
      <c r="C56" s="198" t="s">
        <v>198</v>
      </c>
      <c r="D56" s="200">
        <v>0.51500000000000001</v>
      </c>
      <c r="E56" s="201"/>
      <c r="F56" s="202"/>
      <c r="G56" s="201"/>
      <c r="H56" s="205"/>
      <c r="I56" s="203"/>
      <c r="J56" s="204"/>
    </row>
    <row r="57" spans="1:10" x14ac:dyDescent="0.3">
      <c r="A57" s="223" t="s">
        <v>271</v>
      </c>
      <c r="B57" s="199" t="s">
        <v>272</v>
      </c>
      <c r="C57" s="198" t="s">
        <v>273</v>
      </c>
      <c r="D57" s="200">
        <v>0.72299999999999998</v>
      </c>
      <c r="E57" s="201"/>
      <c r="F57" s="202"/>
      <c r="G57" s="201"/>
      <c r="H57" s="202"/>
      <c r="I57" s="203"/>
      <c r="J57" s="204"/>
    </row>
    <row r="58" spans="1:10" ht="12.75" customHeight="1" x14ac:dyDescent="0.3">
      <c r="A58" s="223" t="s">
        <v>2009</v>
      </c>
      <c r="B58" s="199" t="s">
        <v>2010</v>
      </c>
      <c r="C58" s="206" t="s">
        <v>688</v>
      </c>
      <c r="D58" s="200">
        <v>5.9779999999999998</v>
      </c>
      <c r="E58" s="201"/>
      <c r="F58" s="202"/>
      <c r="G58" s="201"/>
      <c r="H58" s="202"/>
      <c r="I58" s="203"/>
      <c r="J58" s="204"/>
    </row>
    <row r="59" spans="1:10" ht="12.75" customHeight="1" x14ac:dyDescent="0.3">
      <c r="A59" s="223" t="s">
        <v>274</v>
      </c>
      <c r="B59" s="199" t="s">
        <v>275</v>
      </c>
      <c r="C59" s="198" t="s">
        <v>198</v>
      </c>
      <c r="D59" s="200">
        <v>898.327</v>
      </c>
      <c r="E59" s="201"/>
      <c r="F59" s="202"/>
      <c r="G59" s="201"/>
      <c r="H59" s="202"/>
      <c r="I59" s="203"/>
      <c r="J59" s="204"/>
    </row>
    <row r="60" spans="1:10" x14ac:dyDescent="0.3">
      <c r="A60" s="223" t="s">
        <v>1556</v>
      </c>
      <c r="B60" s="199" t="s">
        <v>1557</v>
      </c>
      <c r="C60" s="198" t="s">
        <v>198</v>
      </c>
      <c r="D60" s="200">
        <v>313.47500000000002</v>
      </c>
      <c r="E60" s="201"/>
      <c r="F60" s="202"/>
      <c r="G60" s="201"/>
      <c r="H60" s="202"/>
      <c r="I60" s="203"/>
      <c r="J60" s="204"/>
    </row>
    <row r="61" spans="1:10" x14ac:dyDescent="0.3">
      <c r="A61" s="223" t="s">
        <v>276</v>
      </c>
      <c r="B61" s="199" t="s">
        <v>277</v>
      </c>
      <c r="C61" s="198" t="s">
        <v>198</v>
      </c>
      <c r="D61" s="200">
        <v>208.32400000000001</v>
      </c>
      <c r="E61" s="201"/>
      <c r="F61" s="202"/>
      <c r="G61" s="201"/>
      <c r="H61" s="205"/>
      <c r="I61" s="203"/>
      <c r="J61" s="204"/>
    </row>
    <row r="62" spans="1:10" x14ac:dyDescent="0.3">
      <c r="A62" s="224" t="s">
        <v>278</v>
      </c>
      <c r="B62" s="199" t="s">
        <v>279</v>
      </c>
      <c r="C62" s="207" t="s">
        <v>198</v>
      </c>
      <c r="D62" s="200">
        <v>1.7290000000000001</v>
      </c>
      <c r="E62" s="210"/>
      <c r="F62" s="200"/>
      <c r="G62" s="210"/>
      <c r="H62" s="200"/>
      <c r="I62" s="210"/>
      <c r="J62" s="211"/>
    </row>
    <row r="63" spans="1:10" x14ac:dyDescent="0.3">
      <c r="A63" s="224" t="s">
        <v>280</v>
      </c>
      <c r="B63" s="199" t="s">
        <v>281</v>
      </c>
      <c r="C63" s="207" t="s">
        <v>198</v>
      </c>
      <c r="D63" s="200">
        <v>2244.9189999999999</v>
      </c>
      <c r="E63" s="210"/>
      <c r="F63" s="200"/>
      <c r="G63" s="210"/>
      <c r="H63" s="200"/>
      <c r="I63" s="210"/>
      <c r="J63" s="204"/>
    </row>
    <row r="64" spans="1:10" x14ac:dyDescent="0.3">
      <c r="A64" s="223" t="s">
        <v>2104</v>
      </c>
      <c r="B64" s="199" t="s">
        <v>2105</v>
      </c>
      <c r="C64" s="198" t="s">
        <v>513</v>
      </c>
      <c r="D64" s="200">
        <v>72.506</v>
      </c>
      <c r="E64" s="201"/>
      <c r="F64" s="202"/>
      <c r="G64" s="201"/>
      <c r="H64" s="202"/>
      <c r="I64" s="203"/>
      <c r="J64" s="204"/>
    </row>
    <row r="65" spans="1:10" x14ac:dyDescent="0.3">
      <c r="A65" s="223" t="s">
        <v>285</v>
      </c>
      <c r="B65" s="199" t="s">
        <v>286</v>
      </c>
      <c r="C65" s="198" t="s">
        <v>199</v>
      </c>
      <c r="D65" s="200">
        <v>188.44399999999999</v>
      </c>
      <c r="E65" s="201"/>
      <c r="F65" s="202"/>
      <c r="G65" s="201"/>
      <c r="H65" s="202"/>
      <c r="I65" s="203"/>
      <c r="J65" s="204"/>
    </row>
    <row r="66" spans="1:10" x14ac:dyDescent="0.3">
      <c r="A66" s="223" t="s">
        <v>1558</v>
      </c>
      <c r="B66" s="199" t="s">
        <v>1559</v>
      </c>
      <c r="C66" s="198" t="s">
        <v>273</v>
      </c>
      <c r="D66" s="200">
        <v>100.746</v>
      </c>
      <c r="E66" s="201"/>
      <c r="F66" s="202"/>
      <c r="G66" s="201"/>
      <c r="H66" s="202"/>
      <c r="I66" s="203"/>
      <c r="J66" s="204"/>
    </row>
    <row r="67" spans="1:10" x14ac:dyDescent="0.3">
      <c r="A67" s="223" t="s">
        <v>1615</v>
      </c>
      <c r="B67" s="199" t="s">
        <v>1616</v>
      </c>
      <c r="C67" s="198" t="s">
        <v>396</v>
      </c>
      <c r="D67" s="200">
        <v>109.81699999999999</v>
      </c>
      <c r="E67" s="201"/>
      <c r="F67" s="202"/>
      <c r="G67" s="201"/>
      <c r="H67" s="202"/>
      <c r="I67" s="203"/>
      <c r="J67" s="204"/>
    </row>
    <row r="68" spans="1:10" x14ac:dyDescent="0.3">
      <c r="A68" s="224" t="s">
        <v>2190</v>
      </c>
      <c r="B68" s="199" t="s">
        <v>2191</v>
      </c>
      <c r="C68" s="207" t="s">
        <v>396</v>
      </c>
      <c r="D68" s="200">
        <v>310.899</v>
      </c>
      <c r="E68" s="210"/>
      <c r="F68" s="200"/>
      <c r="G68" s="210"/>
      <c r="H68" s="200"/>
      <c r="I68" s="210"/>
      <c r="J68" s="212" t="s">
        <v>2185</v>
      </c>
    </row>
    <row r="69" spans="1:10" x14ac:dyDescent="0.3">
      <c r="A69" s="223" t="s">
        <v>2011</v>
      </c>
      <c r="B69" s="199" t="s">
        <v>2012</v>
      </c>
      <c r="C69" s="198" t="s">
        <v>198</v>
      </c>
      <c r="D69" s="200">
        <v>5.508</v>
      </c>
      <c r="E69" s="201"/>
      <c r="F69" s="202"/>
      <c r="G69" s="201"/>
      <c r="H69" s="202"/>
      <c r="I69" s="203"/>
      <c r="J69" s="204"/>
    </row>
    <row r="70" spans="1:10" x14ac:dyDescent="0.3">
      <c r="A70" s="223" t="s">
        <v>287</v>
      </c>
      <c r="B70" s="199" t="s">
        <v>288</v>
      </c>
      <c r="C70" s="198" t="s">
        <v>199</v>
      </c>
      <c r="D70" s="200">
        <v>4.5919999999999996</v>
      </c>
      <c r="E70" s="201"/>
      <c r="F70" s="202"/>
      <c r="G70" s="201"/>
      <c r="H70" s="202"/>
      <c r="I70" s="203"/>
      <c r="J70" s="204"/>
    </row>
    <row r="71" spans="1:10" x14ac:dyDescent="0.3">
      <c r="A71" s="223" t="s">
        <v>289</v>
      </c>
      <c r="B71" s="199" t="s">
        <v>290</v>
      </c>
      <c r="C71" s="198" t="s">
        <v>199</v>
      </c>
      <c r="D71" s="200">
        <v>5.0990000000000002</v>
      </c>
      <c r="E71" s="201"/>
      <c r="F71" s="202"/>
      <c r="G71" s="201"/>
      <c r="H71" s="202"/>
      <c r="I71" s="203"/>
      <c r="J71" s="204"/>
    </row>
    <row r="72" spans="1:10" x14ac:dyDescent="0.3">
      <c r="A72" s="223" t="s">
        <v>291</v>
      </c>
      <c r="B72" s="199" t="s">
        <v>292</v>
      </c>
      <c r="C72" s="198" t="s">
        <v>257</v>
      </c>
      <c r="D72" s="200">
        <v>0.85899999999999999</v>
      </c>
      <c r="E72" s="201"/>
      <c r="F72" s="202"/>
      <c r="G72" s="201"/>
      <c r="H72" s="202"/>
      <c r="I72" s="203"/>
      <c r="J72" s="204"/>
    </row>
    <row r="73" spans="1:10" x14ac:dyDescent="0.3">
      <c r="A73" s="223" t="s">
        <v>293</v>
      </c>
      <c r="B73" s="199" t="s">
        <v>294</v>
      </c>
      <c r="C73" s="198" t="s">
        <v>295</v>
      </c>
      <c r="D73" s="200">
        <v>13.093999999999999</v>
      </c>
      <c r="E73" s="201"/>
      <c r="F73" s="202"/>
      <c r="G73" s="201"/>
      <c r="H73" s="202"/>
      <c r="I73" s="203"/>
      <c r="J73" s="204"/>
    </row>
    <row r="74" spans="1:10" x14ac:dyDescent="0.3">
      <c r="A74" s="223" t="s">
        <v>296</v>
      </c>
      <c r="B74" s="199" t="s">
        <v>297</v>
      </c>
      <c r="C74" s="198" t="s">
        <v>209</v>
      </c>
      <c r="D74" s="200">
        <v>41.817999999999998</v>
      </c>
      <c r="E74" s="201"/>
      <c r="F74" s="202"/>
      <c r="G74" s="201"/>
      <c r="H74" s="202"/>
      <c r="I74" s="203"/>
      <c r="J74" s="204"/>
    </row>
    <row r="75" spans="1:10" x14ac:dyDescent="0.3">
      <c r="A75" s="223" t="s">
        <v>298</v>
      </c>
      <c r="B75" s="199" t="s">
        <v>299</v>
      </c>
      <c r="C75" s="198" t="s">
        <v>199</v>
      </c>
      <c r="D75" s="200">
        <v>10.298999999999999</v>
      </c>
      <c r="E75" s="201"/>
      <c r="F75" s="202"/>
      <c r="G75" s="201"/>
      <c r="H75" s="202"/>
      <c r="I75" s="203"/>
      <c r="J75" s="204"/>
    </row>
    <row r="76" spans="1:10" x14ac:dyDescent="0.3">
      <c r="A76" s="223" t="s">
        <v>300</v>
      </c>
      <c r="B76" s="199" t="s">
        <v>301</v>
      </c>
      <c r="C76" s="198" t="s">
        <v>199</v>
      </c>
      <c r="D76" s="200">
        <v>24.52</v>
      </c>
      <c r="E76" s="201"/>
      <c r="F76" s="202"/>
      <c r="G76" s="201"/>
      <c r="H76" s="202"/>
      <c r="I76" s="203"/>
      <c r="J76" s="204"/>
    </row>
    <row r="77" spans="1:10" x14ac:dyDescent="0.3">
      <c r="A77" s="223" t="s">
        <v>302</v>
      </c>
      <c r="B77" s="199" t="s">
        <v>303</v>
      </c>
      <c r="C77" s="198" t="s">
        <v>284</v>
      </c>
      <c r="D77" s="200">
        <v>0.72799999999999998</v>
      </c>
      <c r="E77" s="201"/>
      <c r="F77" s="202"/>
      <c r="G77" s="201"/>
      <c r="H77" s="202"/>
      <c r="I77" s="203"/>
      <c r="J77" s="204"/>
    </row>
    <row r="78" spans="1:10" x14ac:dyDescent="0.3">
      <c r="A78" s="223" t="s">
        <v>1617</v>
      </c>
      <c r="B78" s="199" t="s">
        <v>1618</v>
      </c>
      <c r="C78" s="198" t="s">
        <v>200</v>
      </c>
      <c r="D78" s="200">
        <v>3.4380000000000002</v>
      </c>
      <c r="E78" s="201"/>
      <c r="F78" s="202"/>
      <c r="G78" s="201"/>
      <c r="H78" s="202"/>
      <c r="I78" s="203"/>
      <c r="J78" s="204"/>
    </row>
    <row r="79" spans="1:10" x14ac:dyDescent="0.3">
      <c r="A79" s="223" t="s">
        <v>304</v>
      </c>
      <c r="B79" s="199" t="s">
        <v>305</v>
      </c>
      <c r="C79" s="198" t="s">
        <v>306</v>
      </c>
      <c r="D79" s="200">
        <v>2.282</v>
      </c>
      <c r="E79" s="201"/>
      <c r="F79" s="202"/>
      <c r="G79" s="201"/>
      <c r="H79" s="202"/>
      <c r="I79" s="203"/>
      <c r="J79" s="204"/>
    </row>
    <row r="80" spans="1:10" x14ac:dyDescent="0.3">
      <c r="A80" s="223" t="s">
        <v>307</v>
      </c>
      <c r="B80" s="199" t="s">
        <v>308</v>
      </c>
      <c r="C80" s="198" t="s">
        <v>198</v>
      </c>
      <c r="D80" s="200">
        <v>0.51300000000000001</v>
      </c>
      <c r="E80" s="201"/>
      <c r="F80" s="202"/>
      <c r="G80" s="201"/>
      <c r="H80" s="202"/>
      <c r="I80" s="203"/>
      <c r="J80" s="204"/>
    </row>
    <row r="81" spans="1:10" x14ac:dyDescent="0.3">
      <c r="A81" s="223" t="s">
        <v>309</v>
      </c>
      <c r="B81" s="199" t="s">
        <v>310</v>
      </c>
      <c r="C81" s="198" t="s">
        <v>311</v>
      </c>
      <c r="D81" s="200">
        <v>6.758</v>
      </c>
      <c r="E81" s="201"/>
      <c r="F81" s="202"/>
      <c r="G81" s="201"/>
      <c r="H81" s="202"/>
      <c r="I81" s="203"/>
      <c r="J81" s="204"/>
    </row>
    <row r="82" spans="1:10" x14ac:dyDescent="0.3">
      <c r="A82" s="223" t="s">
        <v>312</v>
      </c>
      <c r="B82" s="199" t="s">
        <v>313</v>
      </c>
      <c r="C82" s="198" t="s">
        <v>198</v>
      </c>
      <c r="D82" s="200">
        <v>6.4189999999999996</v>
      </c>
      <c r="E82" s="201"/>
      <c r="F82" s="202"/>
      <c r="G82" s="201"/>
      <c r="H82" s="202"/>
      <c r="I82" s="203"/>
      <c r="J82" s="204"/>
    </row>
    <row r="83" spans="1:10" x14ac:dyDescent="0.3">
      <c r="A83" s="223" t="s">
        <v>314</v>
      </c>
      <c r="B83" s="199" t="s">
        <v>315</v>
      </c>
      <c r="C83" s="198" t="s">
        <v>284</v>
      </c>
      <c r="D83" s="200">
        <v>2.5659999999999998</v>
      </c>
      <c r="E83" s="201"/>
      <c r="F83" s="202"/>
      <c r="G83" s="201"/>
      <c r="H83" s="202"/>
      <c r="I83" s="203"/>
      <c r="J83" s="204"/>
    </row>
    <row r="84" spans="1:10" x14ac:dyDescent="0.3">
      <c r="A84" s="223" t="s">
        <v>316</v>
      </c>
      <c r="B84" s="199" t="s">
        <v>317</v>
      </c>
      <c r="C84" s="198" t="s">
        <v>318</v>
      </c>
      <c r="D84" s="200">
        <v>6.4000000000000001E-2</v>
      </c>
      <c r="E84" s="201"/>
      <c r="F84" s="202"/>
      <c r="G84" s="201"/>
      <c r="H84" s="202"/>
      <c r="I84" s="203"/>
      <c r="J84" s="204"/>
    </row>
    <row r="85" spans="1:10" x14ac:dyDescent="0.3">
      <c r="A85" s="223" t="s">
        <v>321</v>
      </c>
      <c r="B85" s="199" t="s">
        <v>322</v>
      </c>
      <c r="C85" s="198" t="s">
        <v>199</v>
      </c>
      <c r="D85" s="200">
        <v>185.923</v>
      </c>
      <c r="E85" s="201"/>
      <c r="F85" s="202"/>
      <c r="G85" s="201"/>
      <c r="H85" s="202"/>
      <c r="I85" s="203"/>
      <c r="J85" s="204"/>
    </row>
    <row r="86" spans="1:10" x14ac:dyDescent="0.3">
      <c r="A86" s="223" t="s">
        <v>323</v>
      </c>
      <c r="B86" s="199" t="s">
        <v>324</v>
      </c>
      <c r="C86" s="198" t="s">
        <v>325</v>
      </c>
      <c r="D86" s="200">
        <v>59.698</v>
      </c>
      <c r="E86" s="201"/>
      <c r="F86" s="202"/>
      <c r="G86" s="201"/>
      <c r="H86" s="202"/>
      <c r="I86" s="203"/>
      <c r="J86" s="204"/>
    </row>
    <row r="87" spans="1:10" x14ac:dyDescent="0.3">
      <c r="A87" s="223" t="s">
        <v>326</v>
      </c>
      <c r="B87" s="199" t="s">
        <v>327</v>
      </c>
      <c r="C87" s="198" t="s">
        <v>311</v>
      </c>
      <c r="D87" s="200">
        <v>4238.6880000000001</v>
      </c>
      <c r="E87" s="201"/>
      <c r="F87" s="202"/>
      <c r="G87" s="201"/>
      <c r="H87" s="202"/>
      <c r="I87" s="203"/>
      <c r="J87" s="204"/>
    </row>
    <row r="88" spans="1:10" x14ac:dyDescent="0.3">
      <c r="A88" s="223" t="s">
        <v>328</v>
      </c>
      <c r="B88" s="199" t="s">
        <v>329</v>
      </c>
      <c r="C88" s="198" t="s">
        <v>198</v>
      </c>
      <c r="D88" s="200">
        <v>3.7829999999999999</v>
      </c>
      <c r="E88" s="201"/>
      <c r="F88" s="202"/>
      <c r="G88" s="201"/>
      <c r="H88" s="202"/>
      <c r="I88" s="203"/>
      <c r="J88" s="204"/>
    </row>
    <row r="89" spans="1:10" x14ac:dyDescent="0.3">
      <c r="A89" s="225" t="s">
        <v>330</v>
      </c>
      <c r="B89" s="199" t="s">
        <v>331</v>
      </c>
      <c r="C89" s="206" t="s">
        <v>199</v>
      </c>
      <c r="D89" s="200">
        <v>50.198999999999998</v>
      </c>
      <c r="E89" s="201"/>
      <c r="F89" s="202"/>
      <c r="G89" s="201"/>
      <c r="H89" s="202"/>
      <c r="I89" s="203"/>
      <c r="J89" s="204"/>
    </row>
    <row r="90" spans="1:10" x14ac:dyDescent="0.3">
      <c r="A90" s="223" t="s">
        <v>2095</v>
      </c>
      <c r="B90" s="199" t="s">
        <v>2096</v>
      </c>
      <c r="C90" s="198" t="s">
        <v>198</v>
      </c>
      <c r="D90" s="200">
        <v>16.315999999999999</v>
      </c>
      <c r="E90" s="201"/>
      <c r="F90" s="202"/>
      <c r="G90" s="201"/>
      <c r="H90" s="202"/>
      <c r="I90" s="203"/>
      <c r="J90" s="204"/>
    </row>
    <row r="91" spans="1:10" x14ac:dyDescent="0.3">
      <c r="A91" s="223" t="s">
        <v>332</v>
      </c>
      <c r="B91" s="199" t="s">
        <v>333</v>
      </c>
      <c r="C91" s="198" t="s">
        <v>311</v>
      </c>
      <c r="D91" s="200">
        <v>24.187999999999999</v>
      </c>
      <c r="E91" s="201"/>
      <c r="F91" s="202"/>
      <c r="G91" s="201"/>
      <c r="H91" s="202"/>
      <c r="I91" s="203"/>
      <c r="J91" s="204"/>
    </row>
    <row r="92" spans="1:10" x14ac:dyDescent="0.3">
      <c r="A92" s="223" t="s">
        <v>334</v>
      </c>
      <c r="B92" s="199" t="s">
        <v>335</v>
      </c>
      <c r="C92" s="198" t="s">
        <v>198</v>
      </c>
      <c r="D92" s="200">
        <v>17.463999999999999</v>
      </c>
      <c r="E92" s="201"/>
      <c r="F92" s="202"/>
      <c r="G92" s="201"/>
      <c r="H92" s="202"/>
      <c r="I92" s="203"/>
      <c r="J92" s="204"/>
    </row>
    <row r="93" spans="1:10" x14ac:dyDescent="0.3">
      <c r="A93" s="224" t="s">
        <v>336</v>
      </c>
      <c r="B93" s="199" t="s">
        <v>337</v>
      </c>
      <c r="C93" s="207" t="s">
        <v>198</v>
      </c>
      <c r="D93" s="200">
        <v>168.24799999999999</v>
      </c>
      <c r="E93" s="210"/>
      <c r="F93" s="200"/>
      <c r="G93" s="210"/>
      <c r="H93" s="200"/>
      <c r="I93" s="210"/>
      <c r="J93" s="211"/>
    </row>
    <row r="94" spans="1:10" x14ac:dyDescent="0.3">
      <c r="A94" s="223" t="s">
        <v>338</v>
      </c>
      <c r="B94" s="199" t="s">
        <v>339</v>
      </c>
      <c r="C94" s="198" t="s">
        <v>340</v>
      </c>
      <c r="D94" s="200">
        <v>13.88</v>
      </c>
      <c r="E94" s="201"/>
      <c r="F94" s="202"/>
      <c r="G94" s="201"/>
      <c r="H94" s="202"/>
      <c r="I94" s="203"/>
      <c r="J94" s="204"/>
    </row>
    <row r="95" spans="1:10" x14ac:dyDescent="0.3">
      <c r="A95" s="223" t="s">
        <v>341</v>
      </c>
      <c r="B95" s="199" t="s">
        <v>342</v>
      </c>
      <c r="C95" s="198" t="s">
        <v>340</v>
      </c>
      <c r="D95" s="200">
        <v>18.111999999999998</v>
      </c>
      <c r="E95" s="201"/>
      <c r="F95" s="202"/>
      <c r="G95" s="201"/>
      <c r="H95" s="202"/>
      <c r="I95" s="203"/>
      <c r="J95" s="204"/>
    </row>
    <row r="96" spans="1:10" x14ac:dyDescent="0.3">
      <c r="A96" s="224" t="s">
        <v>343</v>
      </c>
      <c r="B96" s="199" t="s">
        <v>344</v>
      </c>
      <c r="C96" s="207" t="s">
        <v>199</v>
      </c>
      <c r="D96" s="200">
        <v>39.896000000000001</v>
      </c>
      <c r="E96" s="210"/>
      <c r="F96" s="200"/>
      <c r="G96" s="210"/>
      <c r="H96" s="200"/>
      <c r="I96" s="210"/>
      <c r="J96" s="211"/>
    </row>
    <row r="97" spans="1:10" x14ac:dyDescent="0.3">
      <c r="A97" s="223" t="s">
        <v>348</v>
      </c>
      <c r="B97" s="199" t="s">
        <v>349</v>
      </c>
      <c r="C97" s="198" t="s">
        <v>198</v>
      </c>
      <c r="D97" s="200">
        <v>0.26100000000000001</v>
      </c>
      <c r="E97" s="201"/>
      <c r="F97" s="202"/>
      <c r="G97" s="201"/>
      <c r="H97" s="202"/>
      <c r="I97" s="203"/>
      <c r="J97" s="204"/>
    </row>
    <row r="98" spans="1:10" x14ac:dyDescent="0.3">
      <c r="A98" s="223" t="s">
        <v>350</v>
      </c>
      <c r="B98" s="199" t="s">
        <v>351</v>
      </c>
      <c r="C98" s="198" t="s">
        <v>198</v>
      </c>
      <c r="D98" s="200">
        <v>411.01600000000002</v>
      </c>
      <c r="E98" s="201"/>
      <c r="F98" s="202"/>
      <c r="G98" s="201"/>
      <c r="H98" s="202"/>
      <c r="I98" s="203"/>
      <c r="J98" s="203"/>
    </row>
    <row r="99" spans="1:10" x14ac:dyDescent="0.3">
      <c r="A99" s="223" t="s">
        <v>352</v>
      </c>
      <c r="B99" s="199" t="s">
        <v>353</v>
      </c>
      <c r="C99" s="198" t="s">
        <v>354</v>
      </c>
      <c r="D99" s="200">
        <v>6.319</v>
      </c>
      <c r="E99" s="201"/>
      <c r="F99" s="202"/>
      <c r="G99" s="201"/>
      <c r="H99" s="202"/>
      <c r="I99" s="203"/>
      <c r="J99" s="204"/>
    </row>
    <row r="100" spans="1:10" x14ac:dyDescent="0.3">
      <c r="A100" s="225" t="s">
        <v>355</v>
      </c>
      <c r="B100" s="199" t="s">
        <v>356</v>
      </c>
      <c r="C100" s="198" t="s">
        <v>357</v>
      </c>
      <c r="D100" s="200">
        <v>8.7309999999999999</v>
      </c>
      <c r="E100" s="201"/>
      <c r="F100" s="200"/>
      <c r="G100" s="201"/>
      <c r="H100" s="200"/>
      <c r="I100" s="203"/>
      <c r="J100" s="204"/>
    </row>
    <row r="101" spans="1:10" x14ac:dyDescent="0.3">
      <c r="A101" s="223" t="s">
        <v>358</v>
      </c>
      <c r="B101" s="199" t="s">
        <v>359</v>
      </c>
      <c r="C101" s="198" t="s">
        <v>360</v>
      </c>
      <c r="D101" s="200">
        <v>12.475</v>
      </c>
      <c r="E101" s="201"/>
      <c r="F101" s="202"/>
      <c r="G101" s="201"/>
      <c r="H101" s="202"/>
      <c r="I101" s="203"/>
      <c r="J101" s="204"/>
    </row>
    <row r="102" spans="1:10" x14ac:dyDescent="0.3">
      <c r="A102" s="223" t="s">
        <v>361</v>
      </c>
      <c r="B102" s="199" t="s">
        <v>362</v>
      </c>
      <c r="C102" s="206" t="s">
        <v>354</v>
      </c>
      <c r="D102" s="200">
        <v>5.1369999999999996</v>
      </c>
      <c r="E102" s="201"/>
      <c r="F102" s="202"/>
      <c r="G102" s="201"/>
      <c r="H102" s="202"/>
      <c r="I102" s="203"/>
      <c r="J102" s="204"/>
    </row>
    <row r="103" spans="1:10" x14ac:dyDescent="0.3">
      <c r="A103" s="223" t="s">
        <v>363</v>
      </c>
      <c r="B103" s="199" t="s">
        <v>364</v>
      </c>
      <c r="C103" s="198" t="s">
        <v>273</v>
      </c>
      <c r="D103" s="200">
        <v>4.0380000000000003</v>
      </c>
      <c r="E103" s="201"/>
      <c r="F103" s="202"/>
      <c r="G103" s="201"/>
      <c r="H103" s="202"/>
      <c r="I103" s="203"/>
      <c r="J103" s="204"/>
    </row>
    <row r="104" spans="1:10" x14ac:dyDescent="0.3">
      <c r="A104" s="223" t="s">
        <v>365</v>
      </c>
      <c r="B104" s="199" t="s">
        <v>366</v>
      </c>
      <c r="C104" s="198" t="s">
        <v>198</v>
      </c>
      <c r="D104" s="200">
        <v>1.149</v>
      </c>
      <c r="E104" s="201"/>
      <c r="F104" s="202"/>
      <c r="G104" s="201"/>
      <c r="H104" s="202"/>
      <c r="I104" s="203"/>
      <c r="J104" s="204"/>
    </row>
    <row r="105" spans="1:10" x14ac:dyDescent="0.3">
      <c r="A105" s="223" t="s">
        <v>367</v>
      </c>
      <c r="B105" s="199" t="s">
        <v>368</v>
      </c>
      <c r="C105" s="198" t="s">
        <v>198</v>
      </c>
      <c r="D105" s="200">
        <v>3.536</v>
      </c>
      <c r="E105" s="201"/>
      <c r="F105" s="202"/>
      <c r="G105" s="201"/>
      <c r="H105" s="202"/>
      <c r="I105" s="203"/>
      <c r="J105" s="204"/>
    </row>
    <row r="106" spans="1:10" x14ac:dyDescent="0.3">
      <c r="A106" s="223" t="s">
        <v>369</v>
      </c>
      <c r="B106" s="199" t="s">
        <v>370</v>
      </c>
      <c r="C106" s="198" t="s">
        <v>371</v>
      </c>
      <c r="D106" s="200">
        <v>31.701000000000001</v>
      </c>
      <c r="E106" s="201"/>
      <c r="F106" s="202"/>
      <c r="G106" s="201"/>
      <c r="H106" s="202"/>
      <c r="I106" s="203"/>
      <c r="J106" s="204"/>
    </row>
    <row r="107" spans="1:10" x14ac:dyDescent="0.3">
      <c r="A107" s="223" t="s">
        <v>372</v>
      </c>
      <c r="B107" s="199" t="s">
        <v>373</v>
      </c>
      <c r="C107" s="198" t="s">
        <v>371</v>
      </c>
      <c r="D107" s="200">
        <v>60.77</v>
      </c>
      <c r="E107" s="201"/>
      <c r="F107" s="202"/>
      <c r="G107" s="201"/>
      <c r="H107" s="202"/>
      <c r="I107" s="203"/>
      <c r="J107" s="204"/>
    </row>
    <row r="108" spans="1:10" x14ac:dyDescent="0.3">
      <c r="A108" s="223" t="s">
        <v>374</v>
      </c>
      <c r="B108" s="199" t="s">
        <v>375</v>
      </c>
      <c r="C108" s="206" t="s">
        <v>371</v>
      </c>
      <c r="D108" s="200">
        <v>60.707999999999998</v>
      </c>
      <c r="E108" s="201"/>
      <c r="F108" s="202"/>
      <c r="G108" s="203"/>
      <c r="H108" s="204"/>
      <c r="I108" s="213"/>
      <c r="J108" s="204"/>
    </row>
    <row r="109" spans="1:10" x14ac:dyDescent="0.3">
      <c r="A109" s="223" t="s">
        <v>376</v>
      </c>
      <c r="B109" s="199" t="s">
        <v>377</v>
      </c>
      <c r="C109" s="198" t="s">
        <v>378</v>
      </c>
      <c r="D109" s="200">
        <v>5708.5940000000001</v>
      </c>
      <c r="E109" s="201"/>
      <c r="F109" s="202"/>
      <c r="G109" s="201"/>
      <c r="H109" s="202"/>
      <c r="I109" s="203"/>
      <c r="J109" s="204"/>
    </row>
    <row r="110" spans="1:10" x14ac:dyDescent="0.3">
      <c r="A110" s="223" t="s">
        <v>379</v>
      </c>
      <c r="B110" s="199" t="s">
        <v>2192</v>
      </c>
      <c r="C110" s="198" t="s">
        <v>381</v>
      </c>
      <c r="D110" s="200">
        <v>5.1680000000000001</v>
      </c>
      <c r="E110" s="201"/>
      <c r="F110" s="202"/>
      <c r="G110" s="201"/>
      <c r="H110" s="202"/>
      <c r="I110" s="203"/>
      <c r="J110" s="204"/>
    </row>
    <row r="111" spans="1:10" x14ac:dyDescent="0.3">
      <c r="A111" s="224" t="s">
        <v>2193</v>
      </c>
      <c r="B111" s="199" t="s">
        <v>2194</v>
      </c>
      <c r="C111" s="207" t="s">
        <v>381</v>
      </c>
      <c r="D111" s="200">
        <v>1.6890000000000001</v>
      </c>
      <c r="E111" s="210"/>
      <c r="F111" s="200"/>
      <c r="G111" s="210"/>
      <c r="H111" s="200"/>
      <c r="I111" s="210"/>
      <c r="J111" s="212" t="s">
        <v>2185</v>
      </c>
    </row>
    <row r="112" spans="1:10" x14ac:dyDescent="0.3">
      <c r="A112" s="223" t="s">
        <v>382</v>
      </c>
      <c r="B112" s="199" t="s">
        <v>383</v>
      </c>
      <c r="C112" s="198" t="s">
        <v>384</v>
      </c>
      <c r="D112" s="200">
        <v>1937.8869999999999</v>
      </c>
      <c r="E112" s="201"/>
      <c r="F112" s="202"/>
      <c r="G112" s="201"/>
      <c r="H112" s="202"/>
      <c r="I112" s="203"/>
      <c r="J112" s="204"/>
    </row>
    <row r="113" spans="1:10" x14ac:dyDescent="0.3">
      <c r="A113" s="223" t="s">
        <v>385</v>
      </c>
      <c r="B113" s="199" t="s">
        <v>386</v>
      </c>
      <c r="C113" s="198" t="s">
        <v>387</v>
      </c>
      <c r="D113" s="200">
        <v>0.68700000000000006</v>
      </c>
      <c r="E113" s="201"/>
      <c r="F113" s="202"/>
      <c r="G113" s="201"/>
      <c r="H113" s="202"/>
      <c r="I113" s="203"/>
      <c r="J113" s="204"/>
    </row>
    <row r="114" spans="1:10" x14ac:dyDescent="0.3">
      <c r="A114" s="223" t="s">
        <v>388</v>
      </c>
      <c r="B114" s="199" t="s">
        <v>389</v>
      </c>
      <c r="C114" s="198" t="s">
        <v>200</v>
      </c>
      <c r="D114" s="200">
        <v>5.617</v>
      </c>
      <c r="E114" s="201"/>
      <c r="F114" s="202"/>
      <c r="G114" s="201"/>
      <c r="H114" s="202"/>
      <c r="I114" s="203"/>
      <c r="J114" s="204"/>
    </row>
    <row r="115" spans="1:10" x14ac:dyDescent="0.3">
      <c r="A115" s="223" t="s">
        <v>390</v>
      </c>
      <c r="B115" s="199" t="s">
        <v>391</v>
      </c>
      <c r="C115" s="198" t="s">
        <v>198</v>
      </c>
      <c r="D115" s="200">
        <v>119.55800000000001</v>
      </c>
      <c r="E115" s="201"/>
      <c r="F115" s="202"/>
      <c r="G115" s="201"/>
      <c r="H115" s="202"/>
      <c r="I115" s="203"/>
      <c r="J115" s="204"/>
    </row>
    <row r="116" spans="1:10" x14ac:dyDescent="0.3">
      <c r="A116" s="223" t="s">
        <v>392</v>
      </c>
      <c r="B116" s="199" t="s">
        <v>393</v>
      </c>
      <c r="C116" s="198" t="s">
        <v>209</v>
      </c>
      <c r="D116" s="200">
        <v>3.6019999999999999</v>
      </c>
      <c r="E116" s="201"/>
      <c r="F116" s="202"/>
      <c r="G116" s="201"/>
      <c r="H116" s="202"/>
      <c r="I116" s="203"/>
      <c r="J116" s="204"/>
    </row>
    <row r="117" spans="1:10" x14ac:dyDescent="0.3">
      <c r="A117" s="223" t="s">
        <v>394</v>
      </c>
      <c r="B117" s="199" t="s">
        <v>1560</v>
      </c>
      <c r="C117" s="198" t="s">
        <v>396</v>
      </c>
      <c r="D117" s="200">
        <v>0.26600000000000001</v>
      </c>
      <c r="E117" s="201"/>
      <c r="F117" s="202"/>
      <c r="G117" s="201"/>
      <c r="H117" s="202"/>
      <c r="I117" s="203"/>
      <c r="J117" s="204"/>
    </row>
    <row r="118" spans="1:10" x14ac:dyDescent="0.3">
      <c r="A118" s="223" t="s">
        <v>1561</v>
      </c>
      <c r="B118" s="199" t="s">
        <v>1562</v>
      </c>
      <c r="C118" s="198" t="s">
        <v>396</v>
      </c>
      <c r="D118" s="200">
        <v>1.4790000000000001</v>
      </c>
      <c r="E118" s="201"/>
      <c r="F118" s="202"/>
      <c r="G118" s="201"/>
      <c r="H118" s="202"/>
      <c r="I118" s="203"/>
      <c r="J118" s="204"/>
    </row>
    <row r="119" spans="1:10" x14ac:dyDescent="0.3">
      <c r="A119" s="223" t="s">
        <v>397</v>
      </c>
      <c r="B119" s="199" t="s">
        <v>398</v>
      </c>
      <c r="C119" s="198" t="s">
        <v>381</v>
      </c>
      <c r="D119" s="200">
        <v>2.84</v>
      </c>
      <c r="E119" s="201"/>
      <c r="F119" s="202"/>
      <c r="G119" s="201"/>
      <c r="H119" s="202"/>
      <c r="I119" s="203"/>
      <c r="J119" s="204"/>
    </row>
    <row r="120" spans="1:10" x14ac:dyDescent="0.3">
      <c r="A120" s="224" t="s">
        <v>2195</v>
      </c>
      <c r="B120" s="199" t="s">
        <v>2196</v>
      </c>
      <c r="C120" s="207" t="s">
        <v>284</v>
      </c>
      <c r="D120" s="200">
        <v>1.1619999999999999</v>
      </c>
      <c r="E120" s="210"/>
      <c r="F120" s="200"/>
      <c r="G120" s="210"/>
      <c r="H120" s="200"/>
      <c r="I120" s="210"/>
      <c r="J120" s="212" t="s">
        <v>2185</v>
      </c>
    </row>
    <row r="121" spans="1:10" x14ac:dyDescent="0.3">
      <c r="A121" s="223" t="s">
        <v>399</v>
      </c>
      <c r="B121" s="199" t="s">
        <v>400</v>
      </c>
      <c r="C121" s="198" t="s">
        <v>284</v>
      </c>
      <c r="D121" s="200">
        <v>0.73</v>
      </c>
      <c r="E121" s="201"/>
      <c r="F121" s="202"/>
      <c r="G121" s="201"/>
      <c r="H121" s="202"/>
      <c r="I121" s="203"/>
      <c r="J121" s="204"/>
    </row>
    <row r="122" spans="1:10" x14ac:dyDescent="0.3">
      <c r="A122" s="223" t="s">
        <v>1619</v>
      </c>
      <c r="B122" s="199" t="s">
        <v>1620</v>
      </c>
      <c r="C122" s="198" t="s">
        <v>198</v>
      </c>
      <c r="D122" s="200">
        <v>0.72399999999999998</v>
      </c>
      <c r="E122" s="201"/>
      <c r="F122" s="202"/>
      <c r="G122" s="201"/>
      <c r="H122" s="202"/>
      <c r="I122" s="203"/>
      <c r="J122" s="204"/>
    </row>
    <row r="123" spans="1:10" x14ac:dyDescent="0.3">
      <c r="A123" s="223" t="s">
        <v>401</v>
      </c>
      <c r="B123" s="199" t="s">
        <v>402</v>
      </c>
      <c r="C123" s="198" t="s">
        <v>284</v>
      </c>
      <c r="D123" s="200">
        <v>1.2869999999999999</v>
      </c>
      <c r="E123" s="201"/>
      <c r="F123" s="202"/>
      <c r="G123" s="201"/>
      <c r="H123" s="202"/>
      <c r="I123" s="203"/>
      <c r="J123" s="204"/>
    </row>
    <row r="124" spans="1:10" x14ac:dyDescent="0.3">
      <c r="A124" s="223" t="s">
        <v>403</v>
      </c>
      <c r="B124" s="199" t="s">
        <v>404</v>
      </c>
      <c r="C124" s="198" t="s">
        <v>405</v>
      </c>
      <c r="D124" s="200">
        <v>4.8730000000000002</v>
      </c>
      <c r="E124" s="201"/>
      <c r="F124" s="202"/>
      <c r="G124" s="201"/>
      <c r="H124" s="202"/>
      <c r="I124" s="203"/>
      <c r="J124" s="204"/>
    </row>
    <row r="125" spans="1:10" x14ac:dyDescent="0.3">
      <c r="A125" s="224" t="s">
        <v>406</v>
      </c>
      <c r="B125" s="199" t="s">
        <v>407</v>
      </c>
      <c r="C125" s="207" t="s">
        <v>408</v>
      </c>
      <c r="D125" s="200">
        <v>6.556</v>
      </c>
      <c r="E125" s="210"/>
      <c r="F125" s="200"/>
      <c r="G125" s="210"/>
      <c r="H125" s="200"/>
      <c r="I125" s="210"/>
      <c r="J125" s="211"/>
    </row>
    <row r="126" spans="1:10" x14ac:dyDescent="0.3">
      <c r="A126" s="223" t="s">
        <v>409</v>
      </c>
      <c r="B126" s="199" t="s">
        <v>410</v>
      </c>
      <c r="C126" s="198" t="s">
        <v>295</v>
      </c>
      <c r="D126" s="200">
        <v>0.52900000000000003</v>
      </c>
      <c r="E126" s="201"/>
      <c r="F126" s="202"/>
      <c r="G126" s="201"/>
      <c r="H126" s="202"/>
      <c r="I126" s="203"/>
      <c r="J126" s="204"/>
    </row>
    <row r="127" spans="1:10" x14ac:dyDescent="0.3">
      <c r="A127" s="223" t="s">
        <v>411</v>
      </c>
      <c r="B127" s="199" t="s">
        <v>412</v>
      </c>
      <c r="C127" s="198" t="s">
        <v>413</v>
      </c>
      <c r="D127" s="200">
        <v>2.09</v>
      </c>
      <c r="E127" s="201"/>
      <c r="F127" s="202"/>
      <c r="G127" s="201"/>
      <c r="H127" s="202"/>
      <c r="I127" s="203"/>
      <c r="J127" s="204"/>
    </row>
    <row r="128" spans="1:10" x14ac:dyDescent="0.3">
      <c r="A128" s="224" t="s">
        <v>2197</v>
      </c>
      <c r="B128" s="199" t="s">
        <v>2198</v>
      </c>
      <c r="C128" s="207" t="s">
        <v>284</v>
      </c>
      <c r="D128" s="200">
        <v>5.431</v>
      </c>
      <c r="E128" s="210"/>
      <c r="F128" s="200"/>
      <c r="G128" s="210"/>
      <c r="H128" s="200"/>
      <c r="I128" s="210"/>
      <c r="J128" s="212" t="s">
        <v>2185</v>
      </c>
    </row>
    <row r="129" spans="1:10" x14ac:dyDescent="0.3">
      <c r="A129" s="223" t="s">
        <v>416</v>
      </c>
      <c r="B129" s="199" t="s">
        <v>417</v>
      </c>
      <c r="C129" s="198" t="s">
        <v>418</v>
      </c>
      <c r="D129" s="200">
        <v>6.9379999999999997</v>
      </c>
      <c r="E129" s="201"/>
      <c r="F129" s="202"/>
      <c r="G129" s="201"/>
      <c r="H129" s="202"/>
      <c r="I129" s="203"/>
      <c r="J129" s="204"/>
    </row>
    <row r="130" spans="1:10" x14ac:dyDescent="0.3">
      <c r="A130" s="224" t="s">
        <v>2199</v>
      </c>
      <c r="B130" s="199" t="s">
        <v>2200</v>
      </c>
      <c r="C130" s="207" t="s">
        <v>284</v>
      </c>
      <c r="D130" s="200">
        <v>5.0620000000000003</v>
      </c>
      <c r="E130" s="210"/>
      <c r="F130" s="200"/>
      <c r="G130" s="210"/>
      <c r="H130" s="200"/>
      <c r="I130" s="210"/>
      <c r="J130" s="212" t="s">
        <v>2185</v>
      </c>
    </row>
    <row r="131" spans="1:10" x14ac:dyDescent="0.3">
      <c r="A131" s="223" t="s">
        <v>419</v>
      </c>
      <c r="B131" s="199" t="s">
        <v>420</v>
      </c>
      <c r="C131" s="198" t="s">
        <v>199</v>
      </c>
      <c r="D131" s="200">
        <v>3.78</v>
      </c>
      <c r="E131" s="201"/>
      <c r="F131" s="202"/>
      <c r="G131" s="201"/>
      <c r="H131" s="202"/>
      <c r="I131" s="203"/>
      <c r="J131" s="204"/>
    </row>
    <row r="132" spans="1:10" x14ac:dyDescent="0.3">
      <c r="A132" s="223" t="s">
        <v>421</v>
      </c>
      <c r="B132" s="199" t="s">
        <v>422</v>
      </c>
      <c r="C132" s="198" t="s">
        <v>284</v>
      </c>
      <c r="D132" s="200">
        <v>1.978</v>
      </c>
      <c r="E132" s="201"/>
      <c r="F132" s="202"/>
      <c r="G132" s="201"/>
      <c r="H132" s="202"/>
      <c r="I132" s="203"/>
      <c r="J132" s="204"/>
    </row>
    <row r="133" spans="1:10" x14ac:dyDescent="0.3">
      <c r="A133" s="223" t="s">
        <v>423</v>
      </c>
      <c r="B133" s="199" t="s">
        <v>424</v>
      </c>
      <c r="C133" s="198" t="s">
        <v>425</v>
      </c>
      <c r="D133" s="200">
        <v>91.369</v>
      </c>
      <c r="E133" s="201"/>
      <c r="F133" s="202"/>
      <c r="G133" s="201"/>
      <c r="H133" s="202"/>
      <c r="I133" s="203"/>
      <c r="J133" s="203"/>
    </row>
    <row r="134" spans="1:10" x14ac:dyDescent="0.3">
      <c r="A134" s="225" t="s">
        <v>426</v>
      </c>
      <c r="B134" s="199" t="s">
        <v>427</v>
      </c>
      <c r="C134" s="198" t="s">
        <v>198</v>
      </c>
      <c r="D134" s="200">
        <v>5.0609999999999999</v>
      </c>
      <c r="E134" s="201"/>
      <c r="F134" s="200"/>
      <c r="G134" s="201"/>
      <c r="H134" s="200"/>
      <c r="I134" s="203"/>
      <c r="J134" s="204" t="s">
        <v>2182</v>
      </c>
    </row>
    <row r="135" spans="1:10" x14ac:dyDescent="0.3">
      <c r="A135" s="223" t="s">
        <v>428</v>
      </c>
      <c r="B135" s="199" t="s">
        <v>429</v>
      </c>
      <c r="C135" s="198" t="s">
        <v>405</v>
      </c>
      <c r="D135" s="200">
        <v>41.255200000000002</v>
      </c>
      <c r="E135" s="201"/>
      <c r="F135" s="202"/>
      <c r="G135" s="201"/>
      <c r="H135" s="202"/>
      <c r="I135" s="203"/>
      <c r="J135" s="204"/>
    </row>
    <row r="136" spans="1:10" x14ac:dyDescent="0.3">
      <c r="A136" s="223" t="s">
        <v>430</v>
      </c>
      <c r="B136" s="199" t="s">
        <v>431</v>
      </c>
      <c r="C136" s="198" t="s">
        <v>432</v>
      </c>
      <c r="D136" s="200">
        <v>22.875</v>
      </c>
      <c r="E136" s="201"/>
      <c r="F136" s="202"/>
      <c r="G136" s="201"/>
      <c r="H136" s="202"/>
      <c r="I136" s="203"/>
      <c r="J136" s="204"/>
    </row>
    <row r="137" spans="1:10" x14ac:dyDescent="0.3">
      <c r="A137" s="223" t="s">
        <v>433</v>
      </c>
      <c r="B137" s="199" t="s">
        <v>434</v>
      </c>
      <c r="C137" s="198" t="s">
        <v>198</v>
      </c>
      <c r="D137" s="200">
        <v>22.172999999999998</v>
      </c>
      <c r="E137" s="201"/>
      <c r="F137" s="202"/>
      <c r="G137" s="201"/>
      <c r="H137" s="202"/>
      <c r="I137" s="203"/>
      <c r="J137" s="204"/>
    </row>
    <row r="138" spans="1:10" x14ac:dyDescent="0.3">
      <c r="A138" s="223" t="s">
        <v>435</v>
      </c>
      <c r="B138" s="199" t="s">
        <v>436</v>
      </c>
      <c r="C138" s="198" t="s">
        <v>437</v>
      </c>
      <c r="D138" s="200">
        <v>629.77499999999998</v>
      </c>
      <c r="E138" s="201"/>
      <c r="F138" s="202"/>
      <c r="G138" s="201"/>
      <c r="H138" s="202"/>
      <c r="I138" s="203"/>
      <c r="J138" s="204"/>
    </row>
    <row r="139" spans="1:10" x14ac:dyDescent="0.3">
      <c r="A139" s="223" t="s">
        <v>2013</v>
      </c>
      <c r="B139" s="199" t="s">
        <v>2014</v>
      </c>
      <c r="C139" s="198" t="s">
        <v>2015</v>
      </c>
      <c r="D139" s="200">
        <v>21.56</v>
      </c>
      <c r="E139" s="201"/>
      <c r="F139" s="202"/>
      <c r="G139" s="201"/>
      <c r="H139" s="202"/>
      <c r="I139" s="203"/>
      <c r="J139" s="204"/>
    </row>
    <row r="140" spans="1:10" x14ac:dyDescent="0.3">
      <c r="A140" s="223" t="s">
        <v>1943</v>
      </c>
      <c r="B140" s="199" t="s">
        <v>1944</v>
      </c>
      <c r="C140" s="198" t="s">
        <v>1945</v>
      </c>
      <c r="D140" s="200">
        <v>2.3839999999999999</v>
      </c>
      <c r="E140" s="201"/>
      <c r="F140" s="202"/>
      <c r="G140" s="201"/>
      <c r="H140" s="202"/>
      <c r="I140" s="203"/>
      <c r="J140" s="204"/>
    </row>
    <row r="141" spans="1:10" x14ac:dyDescent="0.3">
      <c r="A141" s="223" t="s">
        <v>438</v>
      </c>
      <c r="B141" s="199" t="s">
        <v>439</v>
      </c>
      <c r="C141" s="198" t="s">
        <v>295</v>
      </c>
      <c r="D141" s="200">
        <v>8.2289999999999992</v>
      </c>
      <c r="E141" s="201"/>
      <c r="F141" s="202"/>
      <c r="G141" s="201"/>
      <c r="H141" s="202"/>
      <c r="I141" s="203"/>
      <c r="J141" s="204"/>
    </row>
    <row r="142" spans="1:10" x14ac:dyDescent="0.3">
      <c r="A142" s="223" t="s">
        <v>440</v>
      </c>
      <c r="B142" s="199" t="s">
        <v>441</v>
      </c>
      <c r="C142" s="198" t="s">
        <v>442</v>
      </c>
      <c r="D142" s="200">
        <v>1.091</v>
      </c>
      <c r="E142" s="201"/>
      <c r="F142" s="202"/>
      <c r="G142" s="201"/>
      <c r="H142" s="202"/>
      <c r="I142" s="203"/>
      <c r="J142" s="204"/>
    </row>
    <row r="143" spans="1:10" x14ac:dyDescent="0.3">
      <c r="A143" s="223" t="s">
        <v>443</v>
      </c>
      <c r="B143" s="199" t="s">
        <v>444</v>
      </c>
      <c r="C143" s="198" t="s">
        <v>445</v>
      </c>
      <c r="D143" s="200">
        <v>15.784000000000001</v>
      </c>
      <c r="E143" s="201"/>
      <c r="F143" s="202"/>
      <c r="G143" s="201"/>
      <c r="H143" s="202"/>
      <c r="I143" s="203"/>
      <c r="J143" s="204"/>
    </row>
    <row r="144" spans="1:10" x14ac:dyDescent="0.3">
      <c r="A144" s="223" t="s">
        <v>446</v>
      </c>
      <c r="B144" s="199" t="s">
        <v>447</v>
      </c>
      <c r="C144" s="198" t="s">
        <v>318</v>
      </c>
      <c r="D144" s="200">
        <v>62.509</v>
      </c>
      <c r="E144" s="201"/>
      <c r="F144" s="202"/>
      <c r="G144" s="201"/>
      <c r="H144" s="202"/>
      <c r="I144" s="203"/>
      <c r="J144" s="204"/>
    </row>
    <row r="145" spans="1:10" x14ac:dyDescent="0.3">
      <c r="A145" s="223" t="s">
        <v>448</v>
      </c>
      <c r="B145" s="199" t="s">
        <v>449</v>
      </c>
      <c r="C145" s="198" t="s">
        <v>199</v>
      </c>
      <c r="D145" s="200">
        <v>2.9510000000000001</v>
      </c>
      <c r="E145" s="201"/>
      <c r="F145" s="202"/>
      <c r="G145" s="201"/>
      <c r="H145" s="202"/>
      <c r="I145" s="203"/>
      <c r="J145" s="204"/>
    </row>
    <row r="146" spans="1:10" x14ac:dyDescent="0.3">
      <c r="A146" s="223" t="s">
        <v>1621</v>
      </c>
      <c r="B146" s="199" t="s">
        <v>1622</v>
      </c>
      <c r="C146" s="198" t="s">
        <v>200</v>
      </c>
      <c r="D146" s="200">
        <v>125.128</v>
      </c>
      <c r="E146" s="201"/>
      <c r="F146" s="202"/>
      <c r="G146" s="201"/>
      <c r="H146" s="202"/>
      <c r="I146" s="203"/>
      <c r="J146" s="204"/>
    </row>
    <row r="147" spans="1:10" x14ac:dyDescent="0.3">
      <c r="A147" s="223" t="s">
        <v>453</v>
      </c>
      <c r="B147" s="199" t="s">
        <v>454</v>
      </c>
      <c r="C147" s="198" t="s">
        <v>455</v>
      </c>
      <c r="D147" s="200">
        <v>3870.3220000000001</v>
      </c>
      <c r="E147" s="201"/>
      <c r="F147" s="202"/>
      <c r="G147" s="201"/>
      <c r="H147" s="202"/>
      <c r="I147" s="203"/>
      <c r="J147" s="204"/>
    </row>
    <row r="148" spans="1:10" x14ac:dyDescent="0.3">
      <c r="A148" s="223" t="s">
        <v>456</v>
      </c>
      <c r="B148" s="199" t="s">
        <v>457</v>
      </c>
      <c r="C148" s="198" t="s">
        <v>458</v>
      </c>
      <c r="D148" s="200">
        <v>24.419</v>
      </c>
      <c r="E148" s="201"/>
      <c r="F148" s="202"/>
      <c r="G148" s="201"/>
      <c r="H148" s="202"/>
      <c r="I148" s="203"/>
      <c r="J148" s="204"/>
    </row>
    <row r="149" spans="1:10" x14ac:dyDescent="0.3">
      <c r="A149" s="225" t="s">
        <v>459</v>
      </c>
      <c r="B149" s="199" t="s">
        <v>460</v>
      </c>
      <c r="C149" s="198" t="s">
        <v>461</v>
      </c>
      <c r="D149" s="200">
        <v>2112.0859999999998</v>
      </c>
      <c r="E149" s="201"/>
      <c r="F149" s="202"/>
      <c r="G149" s="201"/>
      <c r="H149" s="202"/>
      <c r="I149" s="203"/>
      <c r="J149" s="204"/>
    </row>
    <row r="150" spans="1:10" x14ac:dyDescent="0.3">
      <c r="A150" s="223" t="s">
        <v>1563</v>
      </c>
      <c r="B150" s="199" t="s">
        <v>1564</v>
      </c>
      <c r="C150" s="198" t="s">
        <v>781</v>
      </c>
      <c r="D150" s="200">
        <v>987.00199999999995</v>
      </c>
      <c r="E150" s="201"/>
      <c r="F150" s="202"/>
      <c r="G150" s="201"/>
      <c r="H150" s="202"/>
      <c r="I150" s="203"/>
      <c r="J150" s="204"/>
    </row>
    <row r="151" spans="1:10" x14ac:dyDescent="0.3">
      <c r="A151" s="223" t="s">
        <v>462</v>
      </c>
      <c r="B151" s="199" t="s">
        <v>463</v>
      </c>
      <c r="C151" s="198" t="s">
        <v>464</v>
      </c>
      <c r="D151" s="200">
        <v>1769.567</v>
      </c>
      <c r="E151" s="201"/>
      <c r="F151" s="202"/>
      <c r="G151" s="201"/>
      <c r="H151" s="202"/>
      <c r="I151" s="203"/>
      <c r="J151" s="204"/>
    </row>
    <row r="152" spans="1:10" x14ac:dyDescent="0.3">
      <c r="A152" s="224" t="s">
        <v>465</v>
      </c>
      <c r="B152" s="199" t="s">
        <v>466</v>
      </c>
      <c r="C152" s="207" t="s">
        <v>200</v>
      </c>
      <c r="D152" s="200">
        <v>14.909000000000001</v>
      </c>
      <c r="E152" s="210"/>
      <c r="F152" s="200"/>
      <c r="G152" s="210"/>
      <c r="H152" s="200"/>
      <c r="I152" s="210"/>
      <c r="J152" s="204"/>
    </row>
    <row r="153" spans="1:10" x14ac:dyDescent="0.3">
      <c r="A153" s="224" t="s">
        <v>2201</v>
      </c>
      <c r="B153" s="199" t="s">
        <v>2202</v>
      </c>
      <c r="C153" s="207" t="s">
        <v>198</v>
      </c>
      <c r="D153" s="200">
        <v>6.6000000000000003E-2</v>
      </c>
      <c r="E153" s="210"/>
      <c r="F153" s="200"/>
      <c r="G153" s="210"/>
      <c r="H153" s="200"/>
      <c r="I153" s="210"/>
      <c r="J153" s="212" t="s">
        <v>2185</v>
      </c>
    </row>
    <row r="154" spans="1:10" x14ac:dyDescent="0.3">
      <c r="A154" s="223" t="s">
        <v>467</v>
      </c>
      <c r="B154" s="199" t="s">
        <v>468</v>
      </c>
      <c r="C154" s="198" t="s">
        <v>198</v>
      </c>
      <c r="D154" s="200">
        <v>4.8000000000000001E-2</v>
      </c>
      <c r="E154" s="201"/>
      <c r="F154" s="202"/>
      <c r="G154" s="201"/>
      <c r="H154" s="202"/>
      <c r="I154" s="203"/>
      <c r="J154" s="204"/>
    </row>
    <row r="155" spans="1:10" x14ac:dyDescent="0.3">
      <c r="A155" s="223" t="s">
        <v>469</v>
      </c>
      <c r="B155" s="199" t="s">
        <v>470</v>
      </c>
      <c r="C155" s="198" t="s">
        <v>452</v>
      </c>
      <c r="D155" s="200">
        <v>3.1230000000000002</v>
      </c>
      <c r="E155" s="201"/>
      <c r="F155" s="202"/>
      <c r="G155" s="201"/>
      <c r="H155" s="202"/>
      <c r="I155" s="203"/>
      <c r="J155" s="204"/>
    </row>
    <row r="156" spans="1:10" x14ac:dyDescent="0.3">
      <c r="A156" s="223" t="s">
        <v>471</v>
      </c>
      <c r="B156" s="199" t="s">
        <v>472</v>
      </c>
      <c r="C156" s="198" t="s">
        <v>452</v>
      </c>
      <c r="D156" s="200">
        <v>3.1230000000000002</v>
      </c>
      <c r="E156" s="201"/>
      <c r="F156" s="202"/>
      <c r="G156" s="201"/>
      <c r="H156" s="202"/>
      <c r="I156" s="203"/>
      <c r="J156" s="204"/>
    </row>
    <row r="157" spans="1:10" x14ac:dyDescent="0.3">
      <c r="A157" s="223" t="s">
        <v>473</v>
      </c>
      <c r="B157" s="199" t="s">
        <v>474</v>
      </c>
      <c r="C157" s="198" t="s">
        <v>432</v>
      </c>
      <c r="D157" s="200">
        <v>8.2449999999999992</v>
      </c>
      <c r="E157" s="201"/>
      <c r="F157" s="202"/>
      <c r="G157" s="201"/>
      <c r="H157" s="202"/>
      <c r="I157" s="203"/>
      <c r="J157" s="204"/>
    </row>
    <row r="158" spans="1:10" x14ac:dyDescent="0.3">
      <c r="A158" s="223" t="s">
        <v>475</v>
      </c>
      <c r="B158" s="199" t="s">
        <v>476</v>
      </c>
      <c r="C158" s="208" t="s">
        <v>452</v>
      </c>
      <c r="D158" s="200">
        <v>1.4359999999999999</v>
      </c>
      <c r="E158" s="201"/>
      <c r="F158" s="202"/>
      <c r="G158" s="201"/>
      <c r="H158" s="202"/>
      <c r="I158" s="203"/>
      <c r="J158" s="204"/>
    </row>
    <row r="159" spans="1:10" x14ac:dyDescent="0.3">
      <c r="A159" s="223" t="s">
        <v>477</v>
      </c>
      <c r="B159" s="199" t="s">
        <v>478</v>
      </c>
      <c r="C159" s="208" t="s">
        <v>452</v>
      </c>
      <c r="D159" s="200">
        <v>1.4359999999999999</v>
      </c>
      <c r="E159" s="201"/>
      <c r="F159" s="202"/>
      <c r="G159" s="201"/>
      <c r="H159" s="202"/>
      <c r="I159" s="203"/>
      <c r="J159" s="204"/>
    </row>
    <row r="160" spans="1:10" x14ac:dyDescent="0.3">
      <c r="A160" s="224" t="s">
        <v>2203</v>
      </c>
      <c r="B160" s="199" t="s">
        <v>2204</v>
      </c>
      <c r="C160" s="207" t="s">
        <v>198</v>
      </c>
      <c r="D160" s="200">
        <v>0.56699999999999995</v>
      </c>
      <c r="E160" s="210"/>
      <c r="F160" s="200"/>
      <c r="G160" s="210"/>
      <c r="H160" s="200"/>
      <c r="I160" s="210"/>
      <c r="J160" s="212" t="s">
        <v>2185</v>
      </c>
    </row>
    <row r="161" spans="1:10" x14ac:dyDescent="0.3">
      <c r="A161" s="224" t="s">
        <v>2205</v>
      </c>
      <c r="B161" s="199" t="s">
        <v>2206</v>
      </c>
      <c r="C161" s="207" t="s">
        <v>198</v>
      </c>
      <c r="D161" s="200">
        <v>0.56699999999999995</v>
      </c>
      <c r="E161" s="210"/>
      <c r="F161" s="200"/>
      <c r="G161" s="210"/>
      <c r="H161" s="200"/>
      <c r="I161" s="210"/>
      <c r="J161" s="212" t="s">
        <v>2185</v>
      </c>
    </row>
    <row r="162" spans="1:10" x14ac:dyDescent="0.3">
      <c r="A162" s="224" t="s">
        <v>2207</v>
      </c>
      <c r="B162" s="199" t="s">
        <v>2208</v>
      </c>
      <c r="C162" s="207" t="s">
        <v>198</v>
      </c>
      <c r="D162" s="200">
        <v>1.5760000000000001</v>
      </c>
      <c r="E162" s="210"/>
      <c r="F162" s="200"/>
      <c r="G162" s="210"/>
      <c r="H162" s="200"/>
      <c r="I162" s="210"/>
      <c r="J162" s="212" t="s">
        <v>2185</v>
      </c>
    </row>
    <row r="163" spans="1:10" x14ac:dyDescent="0.3">
      <c r="A163" s="223" t="s">
        <v>479</v>
      </c>
      <c r="B163" s="199" t="s">
        <v>480</v>
      </c>
      <c r="C163" s="198" t="s">
        <v>198</v>
      </c>
      <c r="D163" s="200">
        <v>1.276</v>
      </c>
      <c r="E163" s="201"/>
      <c r="F163" s="202"/>
      <c r="G163" s="201"/>
      <c r="H163" s="202"/>
      <c r="I163" s="203"/>
      <c r="J163" s="204"/>
    </row>
    <row r="164" spans="1:10" x14ac:dyDescent="0.3">
      <c r="A164" s="223" t="s">
        <v>481</v>
      </c>
      <c r="B164" s="199" t="s">
        <v>482</v>
      </c>
      <c r="C164" s="198" t="s">
        <v>284</v>
      </c>
      <c r="D164" s="200">
        <v>8.6630000000000003</v>
      </c>
      <c r="E164" s="201"/>
      <c r="F164" s="202"/>
      <c r="G164" s="201"/>
      <c r="H164" s="202"/>
      <c r="I164" s="203"/>
      <c r="J164" s="204"/>
    </row>
    <row r="165" spans="1:10" x14ac:dyDescent="0.3">
      <c r="A165" s="223" t="s">
        <v>1946</v>
      </c>
      <c r="B165" s="199" t="s">
        <v>1947</v>
      </c>
      <c r="C165" s="198" t="s">
        <v>458</v>
      </c>
      <c r="D165" s="200">
        <v>38.469000000000001</v>
      </c>
      <c r="E165" s="201"/>
      <c r="F165" s="202"/>
      <c r="G165" s="201"/>
      <c r="H165" s="202"/>
      <c r="I165" s="203"/>
      <c r="J165" s="204"/>
    </row>
    <row r="166" spans="1:10" x14ac:dyDescent="0.3">
      <c r="A166" s="223" t="s">
        <v>483</v>
      </c>
      <c r="B166" s="199" t="s">
        <v>484</v>
      </c>
      <c r="C166" s="198" t="s">
        <v>198</v>
      </c>
      <c r="D166" s="200">
        <v>23.067</v>
      </c>
      <c r="E166" s="201"/>
      <c r="F166" s="202"/>
      <c r="G166" s="201"/>
      <c r="H166" s="202"/>
      <c r="I166" s="203"/>
      <c r="J166" s="204"/>
    </row>
    <row r="167" spans="1:10" x14ac:dyDescent="0.3">
      <c r="A167" s="224" t="s">
        <v>2209</v>
      </c>
      <c r="B167" s="199" t="s">
        <v>2210</v>
      </c>
      <c r="C167" s="207" t="s">
        <v>198</v>
      </c>
      <c r="D167" s="200">
        <v>2.1850000000000001</v>
      </c>
      <c r="E167" s="210"/>
      <c r="F167" s="200"/>
      <c r="G167" s="210"/>
      <c r="H167" s="200"/>
      <c r="I167" s="210"/>
      <c r="J167" s="212" t="s">
        <v>2185</v>
      </c>
    </row>
    <row r="168" spans="1:10" x14ac:dyDescent="0.3">
      <c r="A168" s="224" t="s">
        <v>2211</v>
      </c>
      <c r="B168" s="199" t="s">
        <v>2212</v>
      </c>
      <c r="C168" s="207" t="s">
        <v>198</v>
      </c>
      <c r="D168" s="200">
        <v>2.1850000000000001</v>
      </c>
      <c r="E168" s="210"/>
      <c r="F168" s="200"/>
      <c r="G168" s="210"/>
      <c r="H168" s="200"/>
      <c r="I168" s="210"/>
      <c r="J168" s="212" t="s">
        <v>2185</v>
      </c>
    </row>
    <row r="169" spans="1:10" x14ac:dyDescent="0.3">
      <c r="A169" s="223" t="s">
        <v>485</v>
      </c>
      <c r="B169" s="199" t="s">
        <v>486</v>
      </c>
      <c r="C169" s="198" t="s">
        <v>200</v>
      </c>
      <c r="D169" s="200">
        <v>29.699000000000002</v>
      </c>
      <c r="E169" s="201"/>
      <c r="F169" s="202"/>
      <c r="G169" s="201"/>
      <c r="H169" s="202"/>
      <c r="I169" s="203"/>
      <c r="J169" s="204"/>
    </row>
    <row r="170" spans="1:10" x14ac:dyDescent="0.3">
      <c r="A170" s="223" t="s">
        <v>487</v>
      </c>
      <c r="B170" s="199" t="s">
        <v>488</v>
      </c>
      <c r="C170" s="198" t="s">
        <v>311</v>
      </c>
      <c r="D170" s="200">
        <v>4.6109999999999998</v>
      </c>
      <c r="E170" s="201"/>
      <c r="F170" s="202"/>
      <c r="G170" s="201"/>
      <c r="H170" s="202"/>
      <c r="I170" s="203"/>
      <c r="J170" s="204"/>
    </row>
    <row r="171" spans="1:10" x14ac:dyDescent="0.3">
      <c r="A171" s="223" t="s">
        <v>489</v>
      </c>
      <c r="B171" s="199" t="s">
        <v>490</v>
      </c>
      <c r="C171" s="198" t="s">
        <v>491</v>
      </c>
      <c r="D171" s="200">
        <v>8.0549999999999997</v>
      </c>
      <c r="E171" s="201"/>
      <c r="F171" s="202"/>
      <c r="G171" s="201"/>
      <c r="H171" s="202"/>
      <c r="I171" s="203"/>
      <c r="J171" s="204"/>
    </row>
    <row r="172" spans="1:10" x14ac:dyDescent="0.3">
      <c r="A172" s="223" t="s">
        <v>492</v>
      </c>
      <c r="B172" s="199" t="s">
        <v>493</v>
      </c>
      <c r="C172" s="198" t="s">
        <v>494</v>
      </c>
      <c r="D172" s="200">
        <v>12.217000000000001</v>
      </c>
      <c r="E172" s="201"/>
      <c r="F172" s="202"/>
      <c r="G172" s="201"/>
      <c r="H172" s="202"/>
      <c r="I172" s="203"/>
      <c r="J172" s="204"/>
    </row>
    <row r="173" spans="1:10" x14ac:dyDescent="0.3">
      <c r="A173" s="223" t="s">
        <v>497</v>
      </c>
      <c r="B173" s="199" t="s">
        <v>498</v>
      </c>
      <c r="C173" s="198" t="s">
        <v>198</v>
      </c>
      <c r="D173" s="200">
        <v>3.2000000000000001E-2</v>
      </c>
      <c r="E173" s="201"/>
      <c r="F173" s="202"/>
      <c r="G173" s="201"/>
      <c r="H173" s="202"/>
      <c r="I173" s="203"/>
      <c r="J173" s="204"/>
    </row>
    <row r="174" spans="1:10" x14ac:dyDescent="0.3">
      <c r="A174" s="223" t="s">
        <v>499</v>
      </c>
      <c r="B174" s="199" t="s">
        <v>500</v>
      </c>
      <c r="C174" s="198" t="s">
        <v>198</v>
      </c>
      <c r="D174" s="200">
        <v>0.125</v>
      </c>
      <c r="E174" s="201"/>
      <c r="F174" s="202"/>
      <c r="G174" s="201"/>
      <c r="H174" s="202"/>
      <c r="I174" s="203"/>
      <c r="J174" s="204"/>
    </row>
    <row r="175" spans="1:10" x14ac:dyDescent="0.3">
      <c r="A175" s="223" t="s">
        <v>501</v>
      </c>
      <c r="B175" s="199" t="s">
        <v>502</v>
      </c>
      <c r="C175" s="198" t="s">
        <v>198</v>
      </c>
      <c r="D175" s="200">
        <v>57.314999999999998</v>
      </c>
      <c r="E175" s="201"/>
      <c r="F175" s="202"/>
      <c r="G175" s="201"/>
      <c r="H175" s="202"/>
      <c r="I175" s="203"/>
      <c r="J175" s="204"/>
    </row>
    <row r="176" spans="1:10" x14ac:dyDescent="0.3">
      <c r="A176" s="223" t="s">
        <v>503</v>
      </c>
      <c r="B176" s="199" t="s">
        <v>504</v>
      </c>
      <c r="C176" s="198" t="s">
        <v>284</v>
      </c>
      <c r="D176" s="200">
        <v>23.931000000000001</v>
      </c>
      <c r="E176" s="201"/>
      <c r="F176" s="202"/>
      <c r="G176" s="201"/>
      <c r="H176" s="202"/>
      <c r="I176" s="203"/>
      <c r="J176" s="204"/>
    </row>
    <row r="177" spans="1:10" x14ac:dyDescent="0.3">
      <c r="A177" s="223" t="s">
        <v>505</v>
      </c>
      <c r="B177" s="199" t="s">
        <v>506</v>
      </c>
      <c r="C177" s="198" t="s">
        <v>396</v>
      </c>
      <c r="D177" s="200">
        <v>8.1240000000000006</v>
      </c>
      <c r="E177" s="201"/>
      <c r="F177" s="202"/>
      <c r="G177" s="201"/>
      <c r="H177" s="202"/>
      <c r="I177" s="203"/>
      <c r="J177" s="204"/>
    </row>
    <row r="178" spans="1:10" x14ac:dyDescent="0.3">
      <c r="A178" s="223" t="s">
        <v>507</v>
      </c>
      <c r="B178" s="199" t="s">
        <v>508</v>
      </c>
      <c r="C178" s="198" t="s">
        <v>464</v>
      </c>
      <c r="D178" s="200">
        <v>4597.0230000000001</v>
      </c>
      <c r="E178" s="201"/>
      <c r="F178" s="202"/>
      <c r="G178" s="201"/>
      <c r="H178" s="202"/>
      <c r="I178" s="203"/>
      <c r="J178" s="204"/>
    </row>
    <row r="179" spans="1:10" x14ac:dyDescent="0.3">
      <c r="A179" s="223" t="s">
        <v>509</v>
      </c>
      <c r="B179" s="199" t="s">
        <v>510</v>
      </c>
      <c r="C179" s="198" t="s">
        <v>209</v>
      </c>
      <c r="D179" s="200">
        <v>0.56399999999999995</v>
      </c>
      <c r="E179" s="201"/>
      <c r="F179" s="202"/>
      <c r="G179" s="201"/>
      <c r="H179" s="202"/>
      <c r="I179" s="203"/>
      <c r="J179" s="204"/>
    </row>
    <row r="180" spans="1:10" x14ac:dyDescent="0.3">
      <c r="A180" s="223" t="s">
        <v>511</v>
      </c>
      <c r="B180" s="199" t="s">
        <v>512</v>
      </c>
      <c r="C180" s="198" t="s">
        <v>513</v>
      </c>
      <c r="D180" s="200">
        <v>4.2229999999999999</v>
      </c>
      <c r="E180" s="201"/>
      <c r="F180" s="202"/>
      <c r="G180" s="201"/>
      <c r="H180" s="202"/>
      <c r="I180" s="203"/>
      <c r="J180" s="204"/>
    </row>
    <row r="181" spans="1:10" x14ac:dyDescent="0.3">
      <c r="A181" s="223" t="s">
        <v>514</v>
      </c>
      <c r="B181" s="199" t="s">
        <v>515</v>
      </c>
      <c r="C181" s="198" t="s">
        <v>295</v>
      </c>
      <c r="D181" s="200">
        <v>125.253</v>
      </c>
      <c r="E181" s="201"/>
      <c r="F181" s="202"/>
      <c r="G181" s="201"/>
      <c r="H181" s="202"/>
      <c r="I181" s="203"/>
      <c r="J181" s="204"/>
    </row>
    <row r="182" spans="1:10" x14ac:dyDescent="0.3">
      <c r="A182" s="223" t="s">
        <v>516</v>
      </c>
      <c r="B182" s="199" t="s">
        <v>517</v>
      </c>
      <c r="C182" s="198" t="s">
        <v>209</v>
      </c>
      <c r="D182" s="200">
        <v>1.1639999999999999</v>
      </c>
      <c r="E182" s="201"/>
      <c r="F182" s="202"/>
      <c r="G182" s="201"/>
      <c r="H182" s="202"/>
      <c r="I182" s="203"/>
      <c r="J182" s="204"/>
    </row>
    <row r="183" spans="1:10" x14ac:dyDescent="0.3">
      <c r="A183" s="223" t="s">
        <v>2016</v>
      </c>
      <c r="B183" s="199" t="s">
        <v>2017</v>
      </c>
      <c r="C183" s="198" t="s">
        <v>396</v>
      </c>
      <c r="D183" s="200">
        <v>15.103999999999999</v>
      </c>
      <c r="E183" s="201"/>
      <c r="F183" s="202"/>
      <c r="G183" s="201"/>
      <c r="H183" s="202"/>
      <c r="I183" s="203"/>
      <c r="J183" s="204"/>
    </row>
    <row r="184" spans="1:10" x14ac:dyDescent="0.3">
      <c r="A184" s="223" t="s">
        <v>518</v>
      </c>
      <c r="B184" s="199" t="s">
        <v>519</v>
      </c>
      <c r="C184" s="198" t="s">
        <v>284</v>
      </c>
      <c r="D184" s="200">
        <v>40.514000000000003</v>
      </c>
      <c r="E184" s="201"/>
      <c r="F184" s="202"/>
      <c r="G184" s="201"/>
      <c r="H184" s="202"/>
      <c r="I184" s="203"/>
      <c r="J184" s="204"/>
    </row>
    <row r="185" spans="1:10" x14ac:dyDescent="0.3">
      <c r="A185" s="223" t="s">
        <v>520</v>
      </c>
      <c r="B185" s="199" t="s">
        <v>521</v>
      </c>
      <c r="C185" s="198" t="s">
        <v>522</v>
      </c>
      <c r="D185" s="200">
        <v>637.70600000000002</v>
      </c>
      <c r="E185" s="201"/>
      <c r="F185" s="202"/>
      <c r="G185" s="201"/>
      <c r="H185" s="202"/>
      <c r="I185" s="203"/>
      <c r="J185" s="204"/>
    </row>
    <row r="186" spans="1:10" x14ac:dyDescent="0.3">
      <c r="A186" s="223" t="s">
        <v>523</v>
      </c>
      <c r="B186" s="199" t="s">
        <v>524</v>
      </c>
      <c r="C186" s="198" t="s">
        <v>199</v>
      </c>
      <c r="D186" s="200">
        <v>16.077000000000002</v>
      </c>
      <c r="E186" s="201"/>
      <c r="F186" s="202"/>
      <c r="G186" s="201"/>
      <c r="H186" s="202"/>
      <c r="I186" s="203"/>
      <c r="J186" s="204"/>
    </row>
    <row r="187" spans="1:10" x14ac:dyDescent="0.3">
      <c r="A187" s="223" t="s">
        <v>525</v>
      </c>
      <c r="B187" s="199" t="s">
        <v>526</v>
      </c>
      <c r="C187" s="198" t="s">
        <v>209</v>
      </c>
      <c r="D187" s="200">
        <v>8.1829999999999998</v>
      </c>
      <c r="E187" s="201"/>
      <c r="F187" s="202"/>
      <c r="G187" s="201"/>
      <c r="H187" s="202"/>
      <c r="I187" s="203"/>
      <c r="J187" s="204"/>
    </row>
    <row r="188" spans="1:10" x14ac:dyDescent="0.3">
      <c r="A188" s="223" t="s">
        <v>527</v>
      </c>
      <c r="B188" s="199" t="s">
        <v>528</v>
      </c>
      <c r="C188" s="198" t="s">
        <v>199</v>
      </c>
      <c r="D188" s="200">
        <v>3.706</v>
      </c>
      <c r="E188" s="201"/>
      <c r="F188" s="202"/>
      <c r="G188" s="201"/>
      <c r="H188" s="202"/>
      <c r="I188" s="203"/>
      <c r="J188" s="204"/>
    </row>
    <row r="189" spans="1:10" x14ac:dyDescent="0.3">
      <c r="A189" s="223" t="s">
        <v>529</v>
      </c>
      <c r="B189" s="199" t="s">
        <v>530</v>
      </c>
      <c r="C189" s="198" t="s">
        <v>295</v>
      </c>
      <c r="D189" s="200">
        <v>6.968</v>
      </c>
      <c r="E189" s="201"/>
      <c r="F189" s="202"/>
      <c r="G189" s="201"/>
      <c r="H189" s="202"/>
      <c r="I189" s="203"/>
      <c r="J189" s="204"/>
    </row>
    <row r="190" spans="1:10" x14ac:dyDescent="0.3">
      <c r="A190" s="223" t="s">
        <v>531</v>
      </c>
      <c r="B190" s="199" t="s">
        <v>532</v>
      </c>
      <c r="C190" s="198" t="s">
        <v>491</v>
      </c>
      <c r="D190" s="200">
        <v>0.62</v>
      </c>
      <c r="E190" s="201"/>
      <c r="F190" s="202"/>
      <c r="G190" s="201"/>
      <c r="H190" s="202"/>
      <c r="I190" s="203"/>
      <c r="J190" s="204"/>
    </row>
    <row r="191" spans="1:10" x14ac:dyDescent="0.3">
      <c r="A191" s="223" t="s">
        <v>533</v>
      </c>
      <c r="B191" s="199" t="s">
        <v>534</v>
      </c>
      <c r="C191" s="198" t="s">
        <v>452</v>
      </c>
      <c r="D191" s="200">
        <v>0.32300000000000001</v>
      </c>
      <c r="E191" s="201"/>
      <c r="F191" s="202"/>
      <c r="G191" s="201"/>
      <c r="H191" s="202"/>
      <c r="I191" s="203"/>
      <c r="J191" s="204"/>
    </row>
    <row r="192" spans="1:10" x14ac:dyDescent="0.3">
      <c r="A192" s="223" t="s">
        <v>535</v>
      </c>
      <c r="B192" s="199" t="s">
        <v>536</v>
      </c>
      <c r="C192" s="198" t="s">
        <v>198</v>
      </c>
      <c r="D192" s="200">
        <v>516.6</v>
      </c>
      <c r="E192" s="201"/>
      <c r="F192" s="202"/>
      <c r="G192" s="201"/>
      <c r="H192" s="202"/>
      <c r="I192" s="203"/>
      <c r="J192" s="204"/>
    </row>
    <row r="193" spans="1:10" x14ac:dyDescent="0.3">
      <c r="A193" s="223" t="s">
        <v>537</v>
      </c>
      <c r="B193" s="199" t="s">
        <v>538</v>
      </c>
      <c r="C193" s="198" t="s">
        <v>199</v>
      </c>
      <c r="D193" s="200">
        <v>227.03800000000001</v>
      </c>
      <c r="E193" s="201"/>
      <c r="F193" s="202"/>
      <c r="G193" s="201"/>
      <c r="H193" s="202"/>
      <c r="I193" s="203"/>
      <c r="J193" s="204"/>
    </row>
    <row r="194" spans="1:10" x14ac:dyDescent="0.3">
      <c r="A194" s="223" t="s">
        <v>539</v>
      </c>
      <c r="B194" s="199" t="s">
        <v>540</v>
      </c>
      <c r="C194" s="198" t="s">
        <v>198</v>
      </c>
      <c r="D194" s="200">
        <v>21.414000000000001</v>
      </c>
      <c r="E194" s="201"/>
      <c r="F194" s="202"/>
      <c r="G194" s="201"/>
      <c r="H194" s="202"/>
      <c r="I194" s="203"/>
      <c r="J194" s="204"/>
    </row>
    <row r="195" spans="1:10" x14ac:dyDescent="0.3">
      <c r="A195" s="223" t="s">
        <v>1565</v>
      </c>
      <c r="B195" s="199" t="s">
        <v>1566</v>
      </c>
      <c r="C195" s="198" t="s">
        <v>199</v>
      </c>
      <c r="D195" s="200">
        <v>222.68299999999999</v>
      </c>
      <c r="E195" s="201"/>
      <c r="F195" s="202"/>
      <c r="G195" s="201"/>
      <c r="H195" s="202"/>
      <c r="I195" s="203"/>
      <c r="J195" s="204"/>
    </row>
    <row r="196" spans="1:10" x14ac:dyDescent="0.3">
      <c r="A196" s="224" t="s">
        <v>2213</v>
      </c>
      <c r="B196" s="199" t="s">
        <v>2214</v>
      </c>
      <c r="C196" s="207" t="s">
        <v>200</v>
      </c>
      <c r="D196" s="200">
        <v>172.25</v>
      </c>
      <c r="E196" s="210"/>
      <c r="F196" s="200"/>
      <c r="G196" s="210"/>
      <c r="H196" s="200"/>
      <c r="I196" s="210"/>
      <c r="J196" s="212" t="s">
        <v>2185</v>
      </c>
    </row>
    <row r="197" spans="1:10" x14ac:dyDescent="0.3">
      <c r="A197" s="223" t="s">
        <v>2215</v>
      </c>
      <c r="B197" s="199" t="s">
        <v>2216</v>
      </c>
      <c r="C197" s="198" t="s">
        <v>198</v>
      </c>
      <c r="D197" s="200">
        <v>11.993</v>
      </c>
      <c r="E197" s="201"/>
      <c r="F197" s="202"/>
      <c r="G197" s="201"/>
      <c r="H197" s="202"/>
      <c r="I197" s="203"/>
      <c r="J197" s="204"/>
    </row>
    <row r="198" spans="1:10" x14ac:dyDescent="0.3">
      <c r="A198" s="223" t="s">
        <v>541</v>
      </c>
      <c r="B198" s="199" t="s">
        <v>542</v>
      </c>
      <c r="C198" s="198" t="s">
        <v>198</v>
      </c>
      <c r="D198" s="200">
        <v>262.72199999999998</v>
      </c>
      <c r="E198" s="201"/>
      <c r="F198" s="202"/>
      <c r="G198" s="201"/>
      <c r="H198" s="202"/>
      <c r="I198" s="203"/>
      <c r="J198" s="204"/>
    </row>
    <row r="199" spans="1:10" x14ac:dyDescent="0.3">
      <c r="A199" s="223" t="s">
        <v>543</v>
      </c>
      <c r="B199" s="199" t="s">
        <v>544</v>
      </c>
      <c r="C199" s="198" t="s">
        <v>396</v>
      </c>
      <c r="D199" s="200">
        <v>15.2</v>
      </c>
      <c r="E199" s="201"/>
      <c r="F199" s="202"/>
      <c r="G199" s="201"/>
      <c r="H199" s="202"/>
      <c r="I199" s="203"/>
      <c r="J199" s="204"/>
    </row>
    <row r="200" spans="1:10" x14ac:dyDescent="0.3">
      <c r="A200" s="223" t="s">
        <v>545</v>
      </c>
      <c r="B200" s="199" t="s">
        <v>546</v>
      </c>
      <c r="C200" s="198" t="s">
        <v>284</v>
      </c>
      <c r="D200" s="200">
        <v>15.369</v>
      </c>
      <c r="E200" s="201"/>
      <c r="F200" s="202"/>
      <c r="G200" s="201"/>
      <c r="H200" s="202"/>
      <c r="I200" s="203"/>
      <c r="J200" s="204"/>
    </row>
    <row r="201" spans="1:10" x14ac:dyDescent="0.3">
      <c r="A201" s="223" t="s">
        <v>547</v>
      </c>
      <c r="B201" s="199" t="s">
        <v>548</v>
      </c>
      <c r="C201" s="198" t="s">
        <v>284</v>
      </c>
      <c r="D201" s="200">
        <v>83.57</v>
      </c>
      <c r="E201" s="201"/>
      <c r="F201" s="202"/>
      <c r="G201" s="201"/>
      <c r="H201" s="202"/>
      <c r="I201" s="203"/>
      <c r="J201" s="204"/>
    </row>
    <row r="202" spans="1:10" x14ac:dyDescent="0.3">
      <c r="A202" s="223" t="s">
        <v>549</v>
      </c>
      <c r="B202" s="199" t="s">
        <v>550</v>
      </c>
      <c r="C202" s="198" t="s">
        <v>199</v>
      </c>
      <c r="D202" s="200">
        <v>11.153</v>
      </c>
      <c r="E202" s="201"/>
      <c r="F202" s="202"/>
      <c r="G202" s="201"/>
      <c r="H202" s="202"/>
      <c r="I202" s="203"/>
      <c r="J202" s="204"/>
    </row>
    <row r="203" spans="1:10" x14ac:dyDescent="0.3">
      <c r="A203" s="223" t="s">
        <v>551</v>
      </c>
      <c r="B203" s="199" t="s">
        <v>552</v>
      </c>
      <c r="C203" s="198" t="s">
        <v>553</v>
      </c>
      <c r="D203" s="200">
        <v>355.52300000000002</v>
      </c>
      <c r="E203" s="201"/>
      <c r="F203" s="202"/>
      <c r="G203" s="201"/>
      <c r="H203" s="202"/>
      <c r="I203" s="203"/>
      <c r="J203" s="204"/>
    </row>
    <row r="204" spans="1:10" x14ac:dyDescent="0.3">
      <c r="A204" s="223" t="s">
        <v>554</v>
      </c>
      <c r="B204" s="199" t="s">
        <v>555</v>
      </c>
      <c r="C204" s="198" t="s">
        <v>257</v>
      </c>
      <c r="D204" s="200">
        <v>457.00400000000002</v>
      </c>
      <c r="E204" s="201"/>
      <c r="F204" s="202"/>
      <c r="G204" s="201"/>
      <c r="H204" s="202"/>
      <c r="I204" s="203"/>
      <c r="J204" s="204"/>
    </row>
    <row r="205" spans="1:10" x14ac:dyDescent="0.3">
      <c r="A205" s="223" t="s">
        <v>1977</v>
      </c>
      <c r="B205" s="199" t="s">
        <v>1978</v>
      </c>
      <c r="C205" s="198" t="s">
        <v>199</v>
      </c>
      <c r="D205" s="200">
        <v>22.713000000000001</v>
      </c>
      <c r="E205" s="201"/>
      <c r="F205" s="202"/>
      <c r="G205" s="201"/>
      <c r="H205" s="202"/>
      <c r="I205" s="203"/>
      <c r="J205" s="204"/>
    </row>
    <row r="206" spans="1:10" x14ac:dyDescent="0.3">
      <c r="A206" s="223" t="s">
        <v>556</v>
      </c>
      <c r="B206" s="199" t="s">
        <v>557</v>
      </c>
      <c r="C206" s="198" t="s">
        <v>198</v>
      </c>
      <c r="D206" s="200">
        <v>1.1020000000000001</v>
      </c>
      <c r="E206" s="201"/>
      <c r="F206" s="202"/>
      <c r="G206" s="201"/>
      <c r="H206" s="202"/>
      <c r="I206" s="203"/>
      <c r="J206" s="204"/>
    </row>
    <row r="207" spans="1:10" x14ac:dyDescent="0.3">
      <c r="A207" s="223" t="s">
        <v>558</v>
      </c>
      <c r="B207" s="199" t="s">
        <v>559</v>
      </c>
      <c r="C207" s="198" t="s">
        <v>452</v>
      </c>
      <c r="D207" s="200">
        <v>0.98</v>
      </c>
      <c r="E207" s="201"/>
      <c r="F207" s="202"/>
      <c r="G207" s="201"/>
      <c r="H207" s="202"/>
      <c r="I207" s="203"/>
      <c r="J207" s="204"/>
    </row>
    <row r="208" spans="1:10" x14ac:dyDescent="0.3">
      <c r="A208" s="223" t="s">
        <v>560</v>
      </c>
      <c r="B208" s="199" t="s">
        <v>561</v>
      </c>
      <c r="C208" s="198" t="s">
        <v>452</v>
      </c>
      <c r="D208" s="200">
        <v>0.40600000000000003</v>
      </c>
      <c r="E208" s="201"/>
      <c r="F208" s="202"/>
      <c r="G208" s="201"/>
      <c r="H208" s="202"/>
      <c r="I208" s="203"/>
      <c r="J208" s="204"/>
    </row>
    <row r="209" spans="1:10" x14ac:dyDescent="0.3">
      <c r="A209" s="223" t="s">
        <v>2018</v>
      </c>
      <c r="B209" s="199" t="s">
        <v>2019</v>
      </c>
      <c r="C209" s="198" t="s">
        <v>198</v>
      </c>
      <c r="D209" s="200">
        <v>5.008</v>
      </c>
      <c r="E209" s="201"/>
      <c r="F209" s="202"/>
      <c r="G209" s="201"/>
      <c r="H209" s="202"/>
      <c r="I209" s="203"/>
      <c r="J209" s="204"/>
    </row>
    <row r="210" spans="1:10" x14ac:dyDescent="0.3">
      <c r="A210" s="223" t="s">
        <v>562</v>
      </c>
      <c r="B210" s="199" t="s">
        <v>563</v>
      </c>
      <c r="C210" s="198" t="s">
        <v>442</v>
      </c>
      <c r="D210" s="200">
        <v>2.3250000000000002</v>
      </c>
      <c r="E210" s="201"/>
      <c r="F210" s="202"/>
      <c r="G210" s="201"/>
      <c r="H210" s="202"/>
      <c r="I210" s="203"/>
      <c r="J210" s="204"/>
    </row>
    <row r="211" spans="1:10" x14ac:dyDescent="0.3">
      <c r="A211" s="223" t="s">
        <v>564</v>
      </c>
      <c r="B211" s="199" t="s">
        <v>565</v>
      </c>
      <c r="C211" s="198" t="s">
        <v>198</v>
      </c>
      <c r="D211" s="200">
        <v>0.17499999999999999</v>
      </c>
      <c r="E211" s="201"/>
      <c r="F211" s="202"/>
      <c r="G211" s="201"/>
      <c r="H211" s="202"/>
      <c r="I211" s="203"/>
      <c r="J211" s="204"/>
    </row>
    <row r="212" spans="1:10" x14ac:dyDescent="0.3">
      <c r="A212" s="224" t="s">
        <v>566</v>
      </c>
      <c r="B212" s="199" t="s">
        <v>567</v>
      </c>
      <c r="C212" s="207" t="s">
        <v>458</v>
      </c>
      <c r="D212" s="200">
        <v>467.05799999999999</v>
      </c>
      <c r="E212" s="210"/>
      <c r="F212" s="200"/>
      <c r="G212" s="210"/>
      <c r="H212" s="200"/>
      <c r="I212" s="210"/>
      <c r="J212" s="211"/>
    </row>
    <row r="213" spans="1:10" x14ac:dyDescent="0.3">
      <c r="A213" s="223" t="s">
        <v>568</v>
      </c>
      <c r="B213" s="199" t="s">
        <v>569</v>
      </c>
      <c r="C213" s="198" t="s">
        <v>198</v>
      </c>
      <c r="D213" s="200">
        <v>432.79899999999998</v>
      </c>
      <c r="E213" s="201"/>
      <c r="F213" s="202"/>
      <c r="G213" s="201"/>
      <c r="H213" s="202"/>
      <c r="I213" s="203"/>
      <c r="J213" s="204"/>
    </row>
    <row r="214" spans="1:10" x14ac:dyDescent="0.3">
      <c r="A214" s="223" t="s">
        <v>570</v>
      </c>
      <c r="B214" s="199" t="s">
        <v>571</v>
      </c>
      <c r="C214" s="198" t="s">
        <v>284</v>
      </c>
      <c r="D214" s="200">
        <v>47.569000000000003</v>
      </c>
      <c r="E214" s="201"/>
      <c r="F214" s="202"/>
      <c r="G214" s="201"/>
      <c r="H214" s="202"/>
      <c r="I214" s="203"/>
      <c r="J214" s="204"/>
    </row>
    <row r="215" spans="1:10" x14ac:dyDescent="0.3">
      <c r="A215" s="223" t="s">
        <v>572</v>
      </c>
      <c r="B215" s="199" t="s">
        <v>573</v>
      </c>
      <c r="C215" s="198" t="s">
        <v>574</v>
      </c>
      <c r="D215" s="200">
        <v>47.87</v>
      </c>
      <c r="E215" s="201"/>
      <c r="F215" s="202"/>
      <c r="G215" s="201"/>
      <c r="H215" s="202"/>
      <c r="I215" s="203"/>
      <c r="J215" s="204"/>
    </row>
    <row r="216" spans="1:10" x14ac:dyDescent="0.3">
      <c r="A216" s="223" t="s">
        <v>2106</v>
      </c>
      <c r="B216" s="199" t="s">
        <v>2107</v>
      </c>
      <c r="C216" s="198" t="s">
        <v>257</v>
      </c>
      <c r="D216" s="200">
        <v>12.627000000000001</v>
      </c>
      <c r="E216" s="201"/>
      <c r="F216" s="202"/>
      <c r="G216" s="201"/>
      <c r="H216" s="202"/>
      <c r="I216" s="203"/>
      <c r="J216" s="204"/>
    </row>
    <row r="217" spans="1:10" x14ac:dyDescent="0.3">
      <c r="A217" s="223" t="s">
        <v>1979</v>
      </c>
      <c r="B217" s="199" t="s">
        <v>1980</v>
      </c>
      <c r="C217" s="198" t="s">
        <v>284</v>
      </c>
      <c r="D217" s="200">
        <v>481.77</v>
      </c>
      <c r="E217" s="201"/>
      <c r="F217" s="202"/>
      <c r="G217" s="201"/>
      <c r="H217" s="202"/>
      <c r="I217" s="203"/>
      <c r="J217" s="204"/>
    </row>
    <row r="218" spans="1:10" x14ac:dyDescent="0.3">
      <c r="A218" s="223" t="s">
        <v>575</v>
      </c>
      <c r="B218" s="199" t="s">
        <v>576</v>
      </c>
      <c r="C218" s="198" t="s">
        <v>257</v>
      </c>
      <c r="D218" s="200">
        <v>15.058</v>
      </c>
      <c r="E218" s="201"/>
      <c r="F218" s="202"/>
      <c r="G218" s="201"/>
      <c r="H218" s="202"/>
      <c r="I218" s="203"/>
      <c r="J218" s="204"/>
    </row>
    <row r="219" spans="1:10" x14ac:dyDescent="0.3">
      <c r="A219" s="224" t="s">
        <v>577</v>
      </c>
      <c r="B219" s="199" t="s">
        <v>578</v>
      </c>
      <c r="C219" s="207" t="s">
        <v>284</v>
      </c>
      <c r="D219" s="200">
        <v>70.489000000000004</v>
      </c>
      <c r="E219" s="210"/>
      <c r="F219" s="200"/>
      <c r="G219" s="210"/>
      <c r="H219" s="200"/>
      <c r="I219" s="210"/>
      <c r="J219" s="204"/>
    </row>
    <row r="220" spans="1:10" x14ac:dyDescent="0.3">
      <c r="A220" s="223" t="s">
        <v>579</v>
      </c>
      <c r="B220" s="199" t="s">
        <v>580</v>
      </c>
      <c r="C220" s="198" t="s">
        <v>284</v>
      </c>
      <c r="D220" s="200">
        <v>52.375999999999998</v>
      </c>
      <c r="E220" s="201"/>
      <c r="F220" s="202"/>
      <c r="G220" s="201"/>
      <c r="H220" s="202"/>
      <c r="I220" s="203"/>
      <c r="J220" s="204"/>
    </row>
    <row r="221" spans="1:10" x14ac:dyDescent="0.3">
      <c r="A221" s="223" t="s">
        <v>1623</v>
      </c>
      <c r="B221" s="199" t="s">
        <v>1624</v>
      </c>
      <c r="C221" s="198" t="s">
        <v>257</v>
      </c>
      <c r="D221" s="200">
        <v>12.975</v>
      </c>
      <c r="E221" s="201"/>
      <c r="F221" s="202"/>
      <c r="G221" s="201"/>
      <c r="H221" s="202"/>
      <c r="I221" s="203"/>
      <c r="J221" s="204"/>
    </row>
    <row r="222" spans="1:10" x14ac:dyDescent="0.3">
      <c r="A222" s="223" t="s">
        <v>581</v>
      </c>
      <c r="B222" s="199" t="s">
        <v>582</v>
      </c>
      <c r="C222" s="198" t="s">
        <v>257</v>
      </c>
      <c r="D222" s="200">
        <v>12.624000000000001</v>
      </c>
      <c r="E222" s="201"/>
      <c r="F222" s="202"/>
      <c r="G222" s="201"/>
      <c r="H222" s="202"/>
      <c r="I222" s="203"/>
      <c r="J222" s="204"/>
    </row>
    <row r="223" spans="1:10" x14ac:dyDescent="0.3">
      <c r="A223" s="223" t="s">
        <v>583</v>
      </c>
      <c r="B223" s="199" t="s">
        <v>584</v>
      </c>
      <c r="C223" s="198" t="s">
        <v>585</v>
      </c>
      <c r="D223" s="200">
        <v>478.69600000000003</v>
      </c>
      <c r="E223" s="201"/>
      <c r="F223" s="202"/>
      <c r="G223" s="201"/>
      <c r="H223" s="202"/>
      <c r="I223" s="203"/>
      <c r="J223" s="204"/>
    </row>
    <row r="224" spans="1:10" x14ac:dyDescent="0.3">
      <c r="A224" s="223" t="s">
        <v>586</v>
      </c>
      <c r="B224" s="199" t="s">
        <v>587</v>
      </c>
      <c r="C224" s="198" t="s">
        <v>284</v>
      </c>
      <c r="D224" s="200">
        <v>47.795999999999999</v>
      </c>
      <c r="E224" s="201"/>
      <c r="F224" s="202"/>
      <c r="G224" s="201"/>
      <c r="H224" s="202"/>
      <c r="I224" s="203"/>
      <c r="J224" s="204"/>
    </row>
    <row r="225" spans="1:10" x14ac:dyDescent="0.3">
      <c r="A225" s="223" t="s">
        <v>588</v>
      </c>
      <c r="B225" s="199" t="s">
        <v>589</v>
      </c>
      <c r="C225" s="198" t="s">
        <v>284</v>
      </c>
      <c r="D225" s="200">
        <v>73.588999999999999</v>
      </c>
      <c r="E225" s="201"/>
      <c r="F225" s="202"/>
      <c r="G225" s="201"/>
      <c r="H225" s="202"/>
      <c r="I225" s="203"/>
      <c r="J225" s="204"/>
    </row>
    <row r="226" spans="1:10" x14ac:dyDescent="0.3">
      <c r="A226" s="223" t="s">
        <v>590</v>
      </c>
      <c r="B226" s="199" t="s">
        <v>591</v>
      </c>
      <c r="C226" s="198" t="s">
        <v>284</v>
      </c>
      <c r="D226" s="200">
        <v>41.064999999999998</v>
      </c>
      <c r="E226" s="201"/>
      <c r="F226" s="202"/>
      <c r="G226" s="201"/>
      <c r="H226" s="202"/>
      <c r="I226" s="203"/>
      <c r="J226" s="204"/>
    </row>
    <row r="227" spans="1:10" x14ac:dyDescent="0.3">
      <c r="A227" s="223" t="s">
        <v>592</v>
      </c>
      <c r="B227" s="199" t="s">
        <v>593</v>
      </c>
      <c r="C227" s="198" t="s">
        <v>284</v>
      </c>
      <c r="D227" s="200">
        <v>45.551000000000002</v>
      </c>
      <c r="E227" s="201"/>
      <c r="F227" s="202"/>
      <c r="G227" s="201"/>
      <c r="H227" s="202"/>
      <c r="I227" s="203"/>
      <c r="J227" s="204"/>
    </row>
    <row r="228" spans="1:10" x14ac:dyDescent="0.3">
      <c r="A228" s="223" t="s">
        <v>594</v>
      </c>
      <c r="B228" s="199" t="s">
        <v>595</v>
      </c>
      <c r="C228" s="198" t="s">
        <v>284</v>
      </c>
      <c r="D228" s="200">
        <v>41.405999999999999</v>
      </c>
      <c r="E228" s="201"/>
      <c r="F228" s="202"/>
      <c r="G228" s="201"/>
      <c r="H228" s="202"/>
      <c r="I228" s="203"/>
      <c r="J228" s="204"/>
    </row>
    <row r="229" spans="1:10" x14ac:dyDescent="0.3">
      <c r="A229" s="223" t="s">
        <v>596</v>
      </c>
      <c r="B229" s="199" t="s">
        <v>597</v>
      </c>
      <c r="C229" s="198" t="s">
        <v>216</v>
      </c>
      <c r="D229" s="200">
        <v>69.426000000000002</v>
      </c>
      <c r="E229" s="201"/>
      <c r="F229" s="202"/>
      <c r="G229" s="201"/>
      <c r="H229" s="202"/>
      <c r="I229" s="203"/>
      <c r="J229" s="204"/>
    </row>
    <row r="230" spans="1:10" x14ac:dyDescent="0.3">
      <c r="A230" s="223" t="s">
        <v>598</v>
      </c>
      <c r="B230" s="199" t="s">
        <v>599</v>
      </c>
      <c r="C230" s="198" t="s">
        <v>284</v>
      </c>
      <c r="D230" s="200">
        <v>41.533999999999999</v>
      </c>
      <c r="E230" s="201"/>
      <c r="F230" s="202"/>
      <c r="G230" s="201"/>
      <c r="H230" s="202"/>
      <c r="I230" s="203"/>
      <c r="J230" s="204"/>
    </row>
    <row r="231" spans="1:10" x14ac:dyDescent="0.3">
      <c r="A231" s="224" t="s">
        <v>600</v>
      </c>
      <c r="B231" s="199" t="s">
        <v>601</v>
      </c>
      <c r="C231" s="207" t="s">
        <v>257</v>
      </c>
      <c r="D231" s="200">
        <v>16.042000000000002</v>
      </c>
      <c r="E231" s="210"/>
      <c r="F231" s="200"/>
      <c r="G231" s="210"/>
      <c r="H231" s="200"/>
      <c r="I231" s="210"/>
      <c r="J231" s="204"/>
    </row>
    <row r="232" spans="1:10" x14ac:dyDescent="0.3">
      <c r="A232" s="223" t="s">
        <v>602</v>
      </c>
      <c r="B232" s="199" t="s">
        <v>603</v>
      </c>
      <c r="C232" s="198" t="s">
        <v>494</v>
      </c>
      <c r="D232" s="200">
        <v>2.794</v>
      </c>
      <c r="E232" s="201"/>
      <c r="F232" s="202"/>
      <c r="G232" s="201"/>
      <c r="H232" s="202"/>
      <c r="I232" s="203"/>
      <c r="J232" s="204"/>
    </row>
    <row r="233" spans="1:10" x14ac:dyDescent="0.3">
      <c r="A233" s="223" t="s">
        <v>604</v>
      </c>
      <c r="B233" s="199" t="s">
        <v>605</v>
      </c>
      <c r="C233" s="198" t="s">
        <v>198</v>
      </c>
      <c r="D233" s="200">
        <v>13.847</v>
      </c>
      <c r="E233" s="201"/>
      <c r="F233" s="202"/>
      <c r="G233" s="201"/>
      <c r="H233" s="202"/>
      <c r="I233" s="203"/>
      <c r="J233" s="204"/>
    </row>
    <row r="234" spans="1:10" x14ac:dyDescent="0.3">
      <c r="A234" s="223" t="s">
        <v>606</v>
      </c>
      <c r="B234" s="199" t="s">
        <v>607</v>
      </c>
      <c r="C234" s="198" t="s">
        <v>198</v>
      </c>
      <c r="D234" s="200">
        <v>173.77500000000001</v>
      </c>
      <c r="E234" s="201"/>
      <c r="F234" s="202"/>
      <c r="G234" s="201"/>
      <c r="H234" s="202"/>
      <c r="I234" s="203"/>
      <c r="J234" s="204"/>
    </row>
    <row r="235" spans="1:10" x14ac:dyDescent="0.3">
      <c r="A235" s="224" t="s">
        <v>2217</v>
      </c>
      <c r="B235" s="199" t="s">
        <v>2218</v>
      </c>
      <c r="C235" s="207" t="s">
        <v>198</v>
      </c>
      <c r="D235" s="200">
        <v>162.012</v>
      </c>
      <c r="E235" s="210"/>
      <c r="F235" s="200"/>
      <c r="G235" s="210"/>
      <c r="H235" s="200"/>
      <c r="I235" s="210"/>
      <c r="J235" s="212" t="s">
        <v>2185</v>
      </c>
    </row>
    <row r="236" spans="1:10" x14ac:dyDescent="0.3">
      <c r="A236" s="223" t="s">
        <v>608</v>
      </c>
      <c r="B236" s="199" t="s">
        <v>609</v>
      </c>
      <c r="C236" s="198" t="s">
        <v>610</v>
      </c>
      <c r="D236" s="200">
        <v>0.36099999999999999</v>
      </c>
      <c r="E236" s="201"/>
      <c r="F236" s="202"/>
      <c r="G236" s="201"/>
      <c r="H236" s="202"/>
      <c r="I236" s="203"/>
      <c r="J236" s="204"/>
    </row>
    <row r="237" spans="1:10" x14ac:dyDescent="0.3">
      <c r="A237" s="223" t="s">
        <v>611</v>
      </c>
      <c r="B237" s="199" t="s">
        <v>612</v>
      </c>
      <c r="C237" s="198" t="s">
        <v>273</v>
      </c>
      <c r="D237" s="200">
        <v>6.03</v>
      </c>
      <c r="E237" s="201"/>
      <c r="F237" s="202"/>
      <c r="G237" s="201"/>
      <c r="H237" s="202"/>
      <c r="I237" s="203"/>
      <c r="J237" s="204"/>
    </row>
    <row r="238" spans="1:10" x14ac:dyDescent="0.3">
      <c r="A238" s="223" t="s">
        <v>613</v>
      </c>
      <c r="B238" s="199" t="s">
        <v>614</v>
      </c>
      <c r="C238" s="198" t="s">
        <v>200</v>
      </c>
      <c r="D238" s="200">
        <v>0.85799999999999998</v>
      </c>
      <c r="E238" s="201"/>
      <c r="F238" s="202"/>
      <c r="G238" s="201"/>
      <c r="H238" s="202"/>
      <c r="I238" s="203"/>
      <c r="J238" s="204"/>
    </row>
    <row r="239" spans="1:10" x14ac:dyDescent="0.3">
      <c r="A239" s="223" t="s">
        <v>615</v>
      </c>
      <c r="B239" s="199" t="s">
        <v>616</v>
      </c>
      <c r="C239" s="198" t="s">
        <v>209</v>
      </c>
      <c r="D239" s="200">
        <v>7.6520000000000001</v>
      </c>
      <c r="E239" s="201"/>
      <c r="F239" s="202"/>
      <c r="G239" s="201"/>
      <c r="H239" s="202"/>
      <c r="I239" s="203"/>
      <c r="J239" s="204"/>
    </row>
    <row r="240" spans="1:10" x14ac:dyDescent="0.3">
      <c r="A240" s="223" t="s">
        <v>617</v>
      </c>
      <c r="B240" s="199" t="s">
        <v>618</v>
      </c>
      <c r="C240" s="198" t="s">
        <v>198</v>
      </c>
      <c r="D240" s="200">
        <v>29.036000000000001</v>
      </c>
      <c r="E240" s="201"/>
      <c r="F240" s="202"/>
      <c r="G240" s="201"/>
      <c r="H240" s="202"/>
      <c r="I240" s="203"/>
      <c r="J240" s="204"/>
    </row>
    <row r="241" spans="1:10" x14ac:dyDescent="0.3">
      <c r="A241" s="223" t="s">
        <v>619</v>
      </c>
      <c r="B241" s="199" t="s">
        <v>620</v>
      </c>
      <c r="C241" s="198" t="s">
        <v>371</v>
      </c>
      <c r="D241" s="200">
        <v>1.6E-2</v>
      </c>
      <c r="E241" s="201"/>
      <c r="F241" s="202"/>
      <c r="G241" s="201"/>
      <c r="H241" s="202"/>
      <c r="I241" s="203"/>
      <c r="J241" s="204"/>
    </row>
    <row r="242" spans="1:10" x14ac:dyDescent="0.3">
      <c r="A242" s="223" t="s">
        <v>621</v>
      </c>
      <c r="B242" s="199" t="s">
        <v>622</v>
      </c>
      <c r="C242" s="198" t="s">
        <v>432</v>
      </c>
      <c r="D242" s="200">
        <v>0.125</v>
      </c>
      <c r="E242" s="201"/>
      <c r="F242" s="202"/>
      <c r="G242" s="201"/>
      <c r="H242" s="202"/>
      <c r="I242" s="203"/>
      <c r="J242" s="204"/>
    </row>
    <row r="243" spans="1:10" x14ac:dyDescent="0.3">
      <c r="A243" s="223" t="s">
        <v>623</v>
      </c>
      <c r="B243" s="199" t="s">
        <v>624</v>
      </c>
      <c r="C243" s="198" t="s">
        <v>625</v>
      </c>
      <c r="D243" s="200">
        <v>13.308</v>
      </c>
      <c r="E243" s="201"/>
      <c r="F243" s="202"/>
      <c r="G243" s="201"/>
      <c r="H243" s="202"/>
      <c r="I243" s="203"/>
      <c r="J243" s="204"/>
    </row>
    <row r="244" spans="1:10" x14ac:dyDescent="0.3">
      <c r="A244" s="223" t="s">
        <v>626</v>
      </c>
      <c r="B244" s="199" t="s">
        <v>627</v>
      </c>
      <c r="C244" s="198" t="s">
        <v>199</v>
      </c>
      <c r="D244" s="200">
        <v>0.81399999999999995</v>
      </c>
      <c r="E244" s="201"/>
      <c r="F244" s="202"/>
      <c r="G244" s="201"/>
      <c r="H244" s="202"/>
      <c r="I244" s="203"/>
      <c r="J244" s="204"/>
    </row>
    <row r="245" spans="1:10" x14ac:dyDescent="0.3">
      <c r="A245" s="223" t="s">
        <v>628</v>
      </c>
      <c r="B245" s="199" t="s">
        <v>629</v>
      </c>
      <c r="C245" s="198" t="s">
        <v>396</v>
      </c>
      <c r="D245" s="200">
        <v>1.0009999999999999</v>
      </c>
      <c r="E245" s="201"/>
      <c r="F245" s="202"/>
      <c r="G245" s="201"/>
      <c r="H245" s="202"/>
      <c r="I245" s="203"/>
      <c r="J245" s="204"/>
    </row>
    <row r="246" spans="1:10" x14ac:dyDescent="0.3">
      <c r="A246" s="223" t="s">
        <v>630</v>
      </c>
      <c r="B246" s="199" t="s">
        <v>631</v>
      </c>
      <c r="C246" s="198" t="s">
        <v>632</v>
      </c>
      <c r="D246" s="200">
        <v>524.41399999999999</v>
      </c>
      <c r="E246" s="201"/>
      <c r="F246" s="202"/>
      <c r="G246" s="201"/>
      <c r="H246" s="202"/>
      <c r="I246" s="203"/>
      <c r="J246" s="204"/>
    </row>
    <row r="247" spans="1:10" x14ac:dyDescent="0.3">
      <c r="A247" s="223" t="s">
        <v>633</v>
      </c>
      <c r="B247" s="199" t="s">
        <v>634</v>
      </c>
      <c r="C247" s="198" t="s">
        <v>257</v>
      </c>
      <c r="D247" s="200">
        <v>17.881</v>
      </c>
      <c r="E247" s="201"/>
      <c r="F247" s="202"/>
      <c r="G247" s="201"/>
      <c r="H247" s="202"/>
      <c r="I247" s="203"/>
      <c r="J247" s="204"/>
    </row>
    <row r="248" spans="1:10" x14ac:dyDescent="0.3">
      <c r="A248" s="224" t="s">
        <v>2219</v>
      </c>
      <c r="B248" s="199" t="s">
        <v>2220</v>
      </c>
      <c r="C248" s="207" t="s">
        <v>198</v>
      </c>
      <c r="D248" s="200">
        <v>3.008</v>
      </c>
      <c r="E248" s="210"/>
      <c r="F248" s="200"/>
      <c r="G248" s="210"/>
      <c r="H248" s="200"/>
      <c r="I248" s="210"/>
      <c r="J248" s="212" t="s">
        <v>2185</v>
      </c>
    </row>
    <row r="249" spans="1:10" x14ac:dyDescent="0.3">
      <c r="A249" s="223" t="s">
        <v>635</v>
      </c>
      <c r="B249" s="199" t="s">
        <v>636</v>
      </c>
      <c r="C249" s="198" t="s">
        <v>198</v>
      </c>
      <c r="D249" s="200">
        <v>34.031999999999996</v>
      </c>
      <c r="E249" s="201"/>
      <c r="F249" s="202"/>
      <c r="G249" s="201"/>
      <c r="H249" s="202"/>
      <c r="I249" s="203"/>
      <c r="J249" s="204"/>
    </row>
    <row r="250" spans="1:10" x14ac:dyDescent="0.3">
      <c r="A250" s="223" t="s">
        <v>639</v>
      </c>
      <c r="B250" s="199" t="s">
        <v>640</v>
      </c>
      <c r="C250" s="198" t="s">
        <v>198</v>
      </c>
      <c r="D250" s="200">
        <v>542.87599999999998</v>
      </c>
      <c r="E250" s="201"/>
      <c r="F250" s="202"/>
      <c r="G250" s="201"/>
      <c r="H250" s="202"/>
      <c r="I250" s="203"/>
      <c r="J250" s="204"/>
    </row>
    <row r="251" spans="1:10" x14ac:dyDescent="0.3">
      <c r="A251" s="223" t="s">
        <v>641</v>
      </c>
      <c r="B251" s="199" t="s">
        <v>642</v>
      </c>
      <c r="C251" s="198" t="s">
        <v>199</v>
      </c>
      <c r="D251" s="200">
        <v>34.862000000000002</v>
      </c>
      <c r="E251" s="201"/>
      <c r="F251" s="202"/>
      <c r="G251" s="201"/>
      <c r="H251" s="202"/>
      <c r="I251" s="203"/>
      <c r="J251" s="204"/>
    </row>
    <row r="252" spans="1:10" x14ac:dyDescent="0.3">
      <c r="A252" s="223" t="s">
        <v>1567</v>
      </c>
      <c r="B252" s="199" t="s">
        <v>1568</v>
      </c>
      <c r="C252" s="198" t="s">
        <v>199</v>
      </c>
      <c r="D252" s="200">
        <v>69.614000000000004</v>
      </c>
      <c r="E252" s="201"/>
      <c r="F252" s="202"/>
      <c r="G252" s="201"/>
      <c r="H252" s="202"/>
      <c r="I252" s="203"/>
      <c r="J252" s="204"/>
    </row>
    <row r="253" spans="1:10" x14ac:dyDescent="0.3">
      <c r="A253" s="223" t="s">
        <v>643</v>
      </c>
      <c r="B253" s="199" t="s">
        <v>644</v>
      </c>
      <c r="C253" s="198" t="s">
        <v>209</v>
      </c>
      <c r="D253" s="200">
        <v>16.579000000000001</v>
      </c>
      <c r="E253" s="201"/>
      <c r="F253" s="202"/>
      <c r="G253" s="201"/>
      <c r="H253" s="202"/>
      <c r="I253" s="203"/>
      <c r="J253" s="204"/>
    </row>
    <row r="254" spans="1:10" x14ac:dyDescent="0.3">
      <c r="A254" s="223" t="s">
        <v>645</v>
      </c>
      <c r="B254" s="199" t="s">
        <v>646</v>
      </c>
      <c r="C254" s="198" t="s">
        <v>198</v>
      </c>
      <c r="D254" s="200">
        <v>0.223</v>
      </c>
      <c r="E254" s="201"/>
      <c r="F254" s="202"/>
      <c r="G254" s="201"/>
      <c r="H254" s="202"/>
      <c r="I254" s="203"/>
      <c r="J254" s="204"/>
    </row>
    <row r="255" spans="1:10" x14ac:dyDescent="0.3">
      <c r="A255" s="223" t="s">
        <v>647</v>
      </c>
      <c r="B255" s="199" t="s">
        <v>648</v>
      </c>
      <c r="C255" s="198" t="s">
        <v>371</v>
      </c>
      <c r="D255" s="200">
        <v>44.396999999999998</v>
      </c>
      <c r="E255" s="201"/>
      <c r="F255" s="202"/>
      <c r="G255" s="201"/>
      <c r="H255" s="202"/>
      <c r="I255" s="203"/>
      <c r="J255" s="204"/>
    </row>
    <row r="256" spans="1:10" x14ac:dyDescent="0.3">
      <c r="A256" s="223" t="s">
        <v>654</v>
      </c>
      <c r="B256" s="199" t="s">
        <v>655</v>
      </c>
      <c r="C256" s="198" t="s">
        <v>656</v>
      </c>
      <c r="D256" s="200">
        <v>8.44</v>
      </c>
      <c r="E256" s="201"/>
      <c r="F256" s="202"/>
      <c r="G256" s="201"/>
      <c r="H256" s="202"/>
      <c r="I256" s="203"/>
      <c r="J256" s="204"/>
    </row>
    <row r="257" spans="1:10" x14ac:dyDescent="0.3">
      <c r="A257" s="223" t="s">
        <v>2020</v>
      </c>
      <c r="B257" s="199" t="s">
        <v>2021</v>
      </c>
      <c r="C257" s="198" t="s">
        <v>198</v>
      </c>
      <c r="D257" s="200">
        <v>462.86700000000002</v>
      </c>
      <c r="E257" s="201"/>
      <c r="F257" s="202"/>
      <c r="G257" s="201"/>
      <c r="H257" s="202"/>
      <c r="I257" s="203"/>
      <c r="J257" s="204"/>
    </row>
    <row r="258" spans="1:10" x14ac:dyDescent="0.3">
      <c r="A258" s="223" t="s">
        <v>657</v>
      </c>
      <c r="B258" s="199" t="s">
        <v>658</v>
      </c>
      <c r="C258" s="198" t="s">
        <v>659</v>
      </c>
      <c r="D258" s="200">
        <v>0.59399999999999997</v>
      </c>
      <c r="E258" s="201"/>
      <c r="F258" s="202"/>
      <c r="G258" s="201"/>
      <c r="H258" s="202"/>
      <c r="I258" s="203"/>
      <c r="J258" s="204"/>
    </row>
    <row r="259" spans="1:10" x14ac:dyDescent="0.3">
      <c r="A259" s="223" t="s">
        <v>660</v>
      </c>
      <c r="B259" s="199" t="s">
        <v>661</v>
      </c>
      <c r="C259" s="198" t="s">
        <v>198</v>
      </c>
      <c r="D259" s="200">
        <v>61.56</v>
      </c>
      <c r="E259" s="201"/>
      <c r="F259" s="202"/>
      <c r="G259" s="201"/>
      <c r="H259" s="202"/>
      <c r="I259" s="203"/>
      <c r="J259" s="204"/>
    </row>
    <row r="260" spans="1:10" x14ac:dyDescent="0.3">
      <c r="A260" s="223" t="s">
        <v>662</v>
      </c>
      <c r="B260" s="199" t="s">
        <v>663</v>
      </c>
      <c r="C260" s="198" t="s">
        <v>273</v>
      </c>
      <c r="D260" s="200">
        <v>36.091000000000001</v>
      </c>
      <c r="E260" s="201"/>
      <c r="F260" s="202"/>
      <c r="G260" s="201"/>
      <c r="H260" s="202"/>
      <c r="I260" s="203"/>
      <c r="J260" s="204"/>
    </row>
    <row r="261" spans="1:10" x14ac:dyDescent="0.3">
      <c r="A261" s="223" t="s">
        <v>2221</v>
      </c>
      <c r="B261" s="199" t="s">
        <v>2222</v>
      </c>
      <c r="C261" s="198" t="s">
        <v>198</v>
      </c>
      <c r="D261" s="200">
        <v>60.378</v>
      </c>
      <c r="E261" s="201"/>
      <c r="F261" s="202"/>
      <c r="G261" s="201"/>
      <c r="H261" s="202"/>
      <c r="I261" s="203"/>
      <c r="J261" s="204"/>
    </row>
    <row r="262" spans="1:10" x14ac:dyDescent="0.3">
      <c r="A262" s="223" t="s">
        <v>664</v>
      </c>
      <c r="B262" s="199" t="s">
        <v>665</v>
      </c>
      <c r="C262" s="198" t="s">
        <v>311</v>
      </c>
      <c r="D262" s="200">
        <v>0.66</v>
      </c>
      <c r="E262" s="201"/>
      <c r="F262" s="202"/>
      <c r="G262" s="201"/>
      <c r="H262" s="202"/>
      <c r="I262" s="203"/>
      <c r="J262" s="204"/>
    </row>
    <row r="263" spans="1:10" x14ac:dyDescent="0.3">
      <c r="A263" s="223" t="s">
        <v>1569</v>
      </c>
      <c r="B263" s="199" t="s">
        <v>1570</v>
      </c>
      <c r="C263" s="198" t="s">
        <v>198</v>
      </c>
      <c r="D263" s="200">
        <v>2.9740000000000002</v>
      </c>
      <c r="E263" s="201"/>
      <c r="F263" s="202"/>
      <c r="G263" s="201"/>
      <c r="H263" s="202"/>
      <c r="I263" s="203"/>
      <c r="J263" s="204"/>
    </row>
    <row r="264" spans="1:10" x14ac:dyDescent="0.3">
      <c r="A264" s="224" t="s">
        <v>1571</v>
      </c>
      <c r="B264" s="199" t="s">
        <v>2223</v>
      </c>
      <c r="C264" s="214" t="s">
        <v>198</v>
      </c>
      <c r="D264" s="200">
        <v>2.9820000000000002</v>
      </c>
      <c r="E264" s="210"/>
      <c r="F264" s="200"/>
      <c r="G264" s="210"/>
      <c r="H264" s="200"/>
      <c r="I264" s="210"/>
      <c r="J264" s="204"/>
    </row>
    <row r="265" spans="1:10" x14ac:dyDescent="0.3">
      <c r="A265" s="223" t="s">
        <v>668</v>
      </c>
      <c r="B265" s="199" t="s">
        <v>669</v>
      </c>
      <c r="C265" s="198" t="s">
        <v>670</v>
      </c>
      <c r="D265" s="200">
        <v>1474.1769999999999</v>
      </c>
      <c r="E265" s="201"/>
      <c r="F265" s="202"/>
      <c r="G265" s="201"/>
      <c r="H265" s="202"/>
      <c r="I265" s="203"/>
      <c r="J265" s="204"/>
    </row>
    <row r="266" spans="1:10" x14ac:dyDescent="0.3">
      <c r="A266" s="223" t="s">
        <v>1981</v>
      </c>
      <c r="B266" s="199" t="s">
        <v>1982</v>
      </c>
      <c r="C266" s="198" t="s">
        <v>458</v>
      </c>
      <c r="D266" s="200">
        <v>132.76300000000001</v>
      </c>
      <c r="E266" s="201"/>
      <c r="F266" s="202"/>
      <c r="G266" s="201"/>
      <c r="H266" s="202"/>
      <c r="I266" s="203"/>
      <c r="J266" s="204"/>
    </row>
    <row r="267" spans="1:10" x14ac:dyDescent="0.3">
      <c r="A267" s="224" t="s">
        <v>2224</v>
      </c>
      <c r="B267" s="199" t="s">
        <v>2225</v>
      </c>
      <c r="C267" s="207" t="s">
        <v>2226</v>
      </c>
      <c r="D267" s="200">
        <v>88.751000000000005</v>
      </c>
      <c r="E267" s="210"/>
      <c r="F267" s="200"/>
      <c r="G267" s="210"/>
      <c r="H267" s="200"/>
      <c r="I267" s="210"/>
      <c r="J267" s="212" t="s">
        <v>2185</v>
      </c>
    </row>
    <row r="268" spans="1:10" x14ac:dyDescent="0.3">
      <c r="A268" s="223" t="s">
        <v>671</v>
      </c>
      <c r="B268" s="199" t="s">
        <v>672</v>
      </c>
      <c r="C268" s="198" t="s">
        <v>199</v>
      </c>
      <c r="D268" s="200">
        <v>8.5999999999999993E-2</v>
      </c>
      <c r="E268" s="201"/>
      <c r="F268" s="202"/>
      <c r="G268" s="201"/>
      <c r="H268" s="202"/>
      <c r="I268" s="203"/>
      <c r="J268" s="204"/>
    </row>
    <row r="269" spans="1:10" x14ac:dyDescent="0.3">
      <c r="A269" s="223" t="s">
        <v>673</v>
      </c>
      <c r="B269" s="199" t="s">
        <v>674</v>
      </c>
      <c r="C269" s="198" t="s">
        <v>405</v>
      </c>
      <c r="D269" s="200">
        <v>30.221</v>
      </c>
      <c r="E269" s="201"/>
      <c r="F269" s="202"/>
      <c r="G269" s="201"/>
      <c r="H269" s="202"/>
      <c r="I269" s="203"/>
      <c r="J269" s="204"/>
    </row>
    <row r="270" spans="1:10" x14ac:dyDescent="0.3">
      <c r="A270" s="223" t="s">
        <v>675</v>
      </c>
      <c r="B270" s="199" t="s">
        <v>676</v>
      </c>
      <c r="C270" s="198" t="s">
        <v>295</v>
      </c>
      <c r="D270" s="200">
        <v>0.97299999999999998</v>
      </c>
      <c r="E270" s="201"/>
      <c r="F270" s="202"/>
      <c r="G270" s="201"/>
      <c r="H270" s="202"/>
      <c r="I270" s="203"/>
      <c r="J270" s="204"/>
    </row>
    <row r="271" spans="1:10" x14ac:dyDescent="0.3">
      <c r="A271" s="223" t="s">
        <v>677</v>
      </c>
      <c r="B271" s="199" t="s">
        <v>678</v>
      </c>
      <c r="C271" s="198" t="s">
        <v>458</v>
      </c>
      <c r="D271" s="200">
        <v>31.687000000000001</v>
      </c>
      <c r="E271" s="201"/>
      <c r="F271" s="202"/>
      <c r="G271" s="201"/>
      <c r="H271" s="202"/>
      <c r="I271" s="203"/>
      <c r="J271" s="204"/>
    </row>
    <row r="272" spans="1:10" x14ac:dyDescent="0.3">
      <c r="A272" s="223" t="s">
        <v>679</v>
      </c>
      <c r="B272" s="199" t="s">
        <v>680</v>
      </c>
      <c r="C272" s="198" t="s">
        <v>199</v>
      </c>
      <c r="D272" s="200">
        <v>2.5999999999999999E-2</v>
      </c>
      <c r="E272" s="201"/>
      <c r="F272" s="202"/>
      <c r="G272" s="201"/>
      <c r="H272" s="202"/>
      <c r="I272" s="203"/>
      <c r="J272" s="204"/>
    </row>
    <row r="273" spans="1:10" x14ac:dyDescent="0.3">
      <c r="A273" s="223" t="s">
        <v>681</v>
      </c>
      <c r="B273" s="199" t="s">
        <v>682</v>
      </c>
      <c r="C273" s="198" t="s">
        <v>683</v>
      </c>
      <c r="D273" s="200">
        <v>9.8230000000000004</v>
      </c>
      <c r="E273" s="201"/>
      <c r="F273" s="202"/>
      <c r="G273" s="201"/>
      <c r="H273" s="202"/>
      <c r="I273" s="203"/>
      <c r="J273" s="204"/>
    </row>
    <row r="274" spans="1:10" x14ac:dyDescent="0.3">
      <c r="A274" s="223" t="s">
        <v>684</v>
      </c>
      <c r="B274" s="199" t="s">
        <v>685</v>
      </c>
      <c r="C274" s="198" t="s">
        <v>442</v>
      </c>
      <c r="D274" s="200">
        <v>3.2330000000000001</v>
      </c>
      <c r="E274" s="201"/>
      <c r="F274" s="202"/>
      <c r="G274" s="201"/>
      <c r="H274" s="202"/>
      <c r="I274" s="203"/>
      <c r="J274" s="204"/>
    </row>
    <row r="275" spans="1:10" x14ac:dyDescent="0.3">
      <c r="A275" s="224" t="s">
        <v>2227</v>
      </c>
      <c r="B275" s="199" t="s">
        <v>2228</v>
      </c>
      <c r="C275" s="207" t="s">
        <v>442</v>
      </c>
      <c r="D275" s="200">
        <v>16.433</v>
      </c>
      <c r="E275" s="210"/>
      <c r="F275" s="200"/>
      <c r="G275" s="210"/>
      <c r="H275" s="200"/>
      <c r="I275" s="210"/>
      <c r="J275" s="212" t="s">
        <v>2185</v>
      </c>
    </row>
    <row r="276" spans="1:10" x14ac:dyDescent="0.3">
      <c r="A276" s="223" t="s">
        <v>686</v>
      </c>
      <c r="B276" s="199" t="s">
        <v>687</v>
      </c>
      <c r="C276" s="198" t="s">
        <v>688</v>
      </c>
      <c r="D276" s="200">
        <v>0.90600000000000003</v>
      </c>
      <c r="E276" s="201"/>
      <c r="F276" s="202"/>
      <c r="G276" s="201"/>
      <c r="H276" s="202"/>
      <c r="I276" s="203"/>
      <c r="J276" s="204"/>
    </row>
    <row r="277" spans="1:10" x14ac:dyDescent="0.3">
      <c r="A277" s="223" t="s">
        <v>689</v>
      </c>
      <c r="B277" s="199" t="s">
        <v>690</v>
      </c>
      <c r="C277" s="198" t="s">
        <v>522</v>
      </c>
      <c r="D277" s="200">
        <v>4.9829999999999997</v>
      </c>
      <c r="E277" s="201"/>
      <c r="F277" s="202"/>
      <c r="G277" s="201"/>
      <c r="H277" s="202"/>
      <c r="I277" s="203"/>
      <c r="J277" s="204"/>
    </row>
    <row r="278" spans="1:10" x14ac:dyDescent="0.3">
      <c r="A278" s="223" t="s">
        <v>691</v>
      </c>
      <c r="B278" s="199" t="s">
        <v>692</v>
      </c>
      <c r="C278" s="198" t="s">
        <v>257</v>
      </c>
      <c r="D278" s="200">
        <v>9.593</v>
      </c>
      <c r="E278" s="201"/>
      <c r="F278" s="202"/>
      <c r="G278" s="201"/>
      <c r="H278" s="202"/>
      <c r="I278" s="203"/>
      <c r="J278" s="204"/>
    </row>
    <row r="279" spans="1:10" x14ac:dyDescent="0.3">
      <c r="A279" s="223" t="s">
        <v>693</v>
      </c>
      <c r="B279" s="199" t="s">
        <v>694</v>
      </c>
      <c r="C279" s="207" t="s">
        <v>198</v>
      </c>
      <c r="D279" s="200">
        <v>29.648</v>
      </c>
      <c r="E279" s="201"/>
      <c r="F279" s="202"/>
      <c r="G279" s="201"/>
      <c r="H279" s="202"/>
      <c r="I279" s="203"/>
      <c r="J279" s="204"/>
    </row>
    <row r="280" spans="1:10" x14ac:dyDescent="0.3">
      <c r="A280" s="224" t="s">
        <v>2229</v>
      </c>
      <c r="B280" s="199" t="s">
        <v>2230</v>
      </c>
      <c r="C280" s="207" t="s">
        <v>257</v>
      </c>
      <c r="D280" s="200">
        <v>2.1259999999999999</v>
      </c>
      <c r="E280" s="210"/>
      <c r="F280" s="200"/>
      <c r="G280" s="210"/>
      <c r="H280" s="200"/>
      <c r="I280" s="210"/>
      <c r="J280" s="212" t="s">
        <v>2185</v>
      </c>
    </row>
    <row r="281" spans="1:10" x14ac:dyDescent="0.3">
      <c r="A281" s="223" t="s">
        <v>695</v>
      </c>
      <c r="B281" s="199" t="s">
        <v>696</v>
      </c>
      <c r="C281" s="198" t="s">
        <v>257</v>
      </c>
      <c r="D281" s="200">
        <v>0.621</v>
      </c>
      <c r="E281" s="201"/>
      <c r="F281" s="202"/>
      <c r="G281" s="201"/>
      <c r="H281" s="202"/>
      <c r="I281" s="203"/>
      <c r="J281" s="204"/>
    </row>
    <row r="282" spans="1:10" x14ac:dyDescent="0.3">
      <c r="A282" s="223" t="s">
        <v>697</v>
      </c>
      <c r="B282" s="199" t="s">
        <v>698</v>
      </c>
      <c r="C282" s="198" t="s">
        <v>699</v>
      </c>
      <c r="D282" s="200">
        <v>20.192</v>
      </c>
      <c r="E282" s="201"/>
      <c r="F282" s="202"/>
      <c r="G282" s="201"/>
      <c r="H282" s="202"/>
      <c r="I282" s="203"/>
      <c r="J282" s="204"/>
    </row>
    <row r="283" spans="1:10" x14ac:dyDescent="0.3">
      <c r="A283" s="224" t="s">
        <v>2231</v>
      </c>
      <c r="B283" s="199" t="s">
        <v>2232</v>
      </c>
      <c r="C283" s="207" t="s">
        <v>198</v>
      </c>
      <c r="D283" s="200">
        <v>0.48</v>
      </c>
      <c r="E283" s="210"/>
      <c r="F283" s="200"/>
      <c r="G283" s="210"/>
      <c r="H283" s="200"/>
      <c r="I283" s="210"/>
      <c r="J283" s="212" t="s">
        <v>2185</v>
      </c>
    </row>
    <row r="284" spans="1:10" x14ac:dyDescent="0.3">
      <c r="A284" s="223" t="s">
        <v>700</v>
      </c>
      <c r="B284" s="199" t="s">
        <v>701</v>
      </c>
      <c r="C284" s="198" t="s">
        <v>198</v>
      </c>
      <c r="D284" s="200">
        <v>0.92</v>
      </c>
      <c r="E284" s="201"/>
      <c r="F284" s="202"/>
      <c r="G284" s="201"/>
      <c r="H284" s="202"/>
      <c r="I284" s="203"/>
      <c r="J284" s="204"/>
    </row>
    <row r="285" spans="1:10" x14ac:dyDescent="0.3">
      <c r="A285" s="223" t="s">
        <v>702</v>
      </c>
      <c r="B285" s="199" t="s">
        <v>703</v>
      </c>
      <c r="C285" s="198" t="s">
        <v>198</v>
      </c>
      <c r="D285" s="200">
        <v>0.157</v>
      </c>
      <c r="E285" s="201"/>
      <c r="F285" s="202"/>
      <c r="G285" s="201"/>
      <c r="H285" s="202"/>
      <c r="I285" s="203"/>
      <c r="J285" s="204"/>
    </row>
    <row r="286" spans="1:10" x14ac:dyDescent="0.3">
      <c r="A286" s="224" t="s">
        <v>2233</v>
      </c>
      <c r="B286" s="199" t="s">
        <v>2234</v>
      </c>
      <c r="C286" s="207" t="s">
        <v>198</v>
      </c>
      <c r="D286" s="200">
        <v>0.308</v>
      </c>
      <c r="E286" s="210"/>
      <c r="F286" s="200"/>
      <c r="G286" s="210"/>
      <c r="H286" s="200"/>
      <c r="I286" s="210"/>
      <c r="J286" s="212" t="s">
        <v>2185</v>
      </c>
    </row>
    <row r="287" spans="1:10" x14ac:dyDescent="0.3">
      <c r="A287" s="224" t="s">
        <v>704</v>
      </c>
      <c r="B287" s="199" t="s">
        <v>705</v>
      </c>
      <c r="C287" s="214" t="s">
        <v>200</v>
      </c>
      <c r="D287" s="200">
        <v>1.9159999999999999</v>
      </c>
      <c r="E287" s="210"/>
      <c r="F287" s="200"/>
      <c r="G287" s="210"/>
      <c r="H287" s="200"/>
      <c r="I287" s="210"/>
      <c r="J287" s="204"/>
    </row>
    <row r="288" spans="1:10" x14ac:dyDescent="0.3">
      <c r="A288" s="223" t="s">
        <v>706</v>
      </c>
      <c r="B288" s="199" t="s">
        <v>707</v>
      </c>
      <c r="C288" s="198" t="s">
        <v>199</v>
      </c>
      <c r="D288" s="200">
        <v>2.4609999999999999</v>
      </c>
      <c r="E288" s="201"/>
      <c r="F288" s="202"/>
      <c r="G288" s="201"/>
      <c r="H288" s="202"/>
      <c r="I288" s="203"/>
      <c r="J288" s="215"/>
    </row>
    <row r="289" spans="1:10" x14ac:dyDescent="0.3">
      <c r="A289" s="224" t="s">
        <v>2235</v>
      </c>
      <c r="B289" s="199" t="s">
        <v>2236</v>
      </c>
      <c r="C289" s="207" t="s">
        <v>199</v>
      </c>
      <c r="D289" s="200">
        <v>7.4509999999999996</v>
      </c>
      <c r="E289" s="210"/>
      <c r="F289" s="200"/>
      <c r="G289" s="210"/>
      <c r="H289" s="200"/>
      <c r="I289" s="210"/>
      <c r="J289" s="212" t="s">
        <v>2185</v>
      </c>
    </row>
    <row r="290" spans="1:10" x14ac:dyDescent="0.3">
      <c r="A290" s="224" t="s">
        <v>708</v>
      </c>
      <c r="B290" s="199" t="s">
        <v>709</v>
      </c>
      <c r="C290" s="207" t="s">
        <v>199</v>
      </c>
      <c r="D290" s="200">
        <v>9.1010000000000009</v>
      </c>
      <c r="E290" s="210"/>
      <c r="F290" s="200"/>
      <c r="G290" s="210"/>
      <c r="H290" s="200"/>
      <c r="I290" s="210"/>
      <c r="J290" s="204"/>
    </row>
    <row r="291" spans="1:10" x14ac:dyDescent="0.3">
      <c r="A291" s="223" t="s">
        <v>710</v>
      </c>
      <c r="B291" s="199" t="s">
        <v>711</v>
      </c>
      <c r="C291" s="198" t="s">
        <v>452</v>
      </c>
      <c r="D291" s="200">
        <v>9.1050000000000004</v>
      </c>
      <c r="E291" s="201"/>
      <c r="F291" s="202"/>
      <c r="G291" s="201"/>
      <c r="H291" s="202"/>
      <c r="I291" s="203"/>
      <c r="J291" s="204"/>
    </row>
    <row r="292" spans="1:10" x14ac:dyDescent="0.3">
      <c r="A292" s="223" t="s">
        <v>712</v>
      </c>
      <c r="B292" s="199" t="s">
        <v>713</v>
      </c>
      <c r="C292" s="198" t="s">
        <v>257</v>
      </c>
      <c r="D292" s="200">
        <v>10.263999999999999</v>
      </c>
      <c r="E292" s="201"/>
      <c r="F292" s="202"/>
      <c r="G292" s="201"/>
      <c r="H292" s="202"/>
      <c r="I292" s="203"/>
      <c r="J292" s="204"/>
    </row>
    <row r="293" spans="1:10" x14ac:dyDescent="0.3">
      <c r="A293" s="224" t="s">
        <v>2237</v>
      </c>
      <c r="B293" s="199" t="s">
        <v>2238</v>
      </c>
      <c r="C293" s="207" t="s">
        <v>257</v>
      </c>
      <c r="D293" s="200">
        <v>9.7279999999999998</v>
      </c>
      <c r="E293" s="210"/>
      <c r="F293" s="200"/>
      <c r="G293" s="210"/>
      <c r="H293" s="200"/>
      <c r="I293" s="210"/>
      <c r="J293" s="212" t="s">
        <v>2185</v>
      </c>
    </row>
    <row r="294" spans="1:10" x14ac:dyDescent="0.3">
      <c r="A294" s="223" t="s">
        <v>714</v>
      </c>
      <c r="B294" s="199" t="s">
        <v>715</v>
      </c>
      <c r="C294" s="198" t="s">
        <v>199</v>
      </c>
      <c r="D294" s="200">
        <v>2.7770000000000001</v>
      </c>
      <c r="E294" s="201"/>
      <c r="F294" s="202"/>
      <c r="G294" s="201"/>
      <c r="H294" s="202"/>
      <c r="I294" s="203"/>
      <c r="J294" s="204"/>
    </row>
    <row r="295" spans="1:10" x14ac:dyDescent="0.3">
      <c r="A295" s="223" t="s">
        <v>716</v>
      </c>
      <c r="B295" s="199" t="s">
        <v>717</v>
      </c>
      <c r="C295" s="198" t="s">
        <v>198</v>
      </c>
      <c r="D295" s="200">
        <v>10.3</v>
      </c>
      <c r="E295" s="201"/>
      <c r="F295" s="202"/>
      <c r="G295" s="201"/>
      <c r="H295" s="202"/>
      <c r="I295" s="203"/>
      <c r="J295" s="204"/>
    </row>
    <row r="296" spans="1:10" x14ac:dyDescent="0.3">
      <c r="A296" s="223" t="s">
        <v>718</v>
      </c>
      <c r="B296" s="199" t="s">
        <v>719</v>
      </c>
      <c r="C296" s="198" t="s">
        <v>198</v>
      </c>
      <c r="D296" s="200">
        <v>3.7360000000000002</v>
      </c>
      <c r="E296" s="201"/>
      <c r="F296" s="202"/>
      <c r="G296" s="201"/>
      <c r="H296" s="202"/>
      <c r="I296" s="203"/>
      <c r="J296" s="204"/>
    </row>
    <row r="297" spans="1:10" x14ac:dyDescent="0.3">
      <c r="A297" s="223" t="s">
        <v>720</v>
      </c>
      <c r="B297" s="199" t="s">
        <v>721</v>
      </c>
      <c r="C297" s="198" t="s">
        <v>198</v>
      </c>
      <c r="D297" s="200">
        <v>23.821999999999999</v>
      </c>
      <c r="E297" s="201"/>
      <c r="F297" s="202"/>
      <c r="G297" s="201"/>
      <c r="H297" s="202"/>
      <c r="I297" s="203"/>
      <c r="J297" s="204"/>
    </row>
    <row r="298" spans="1:10" x14ac:dyDescent="0.3">
      <c r="A298" s="224" t="s">
        <v>2239</v>
      </c>
      <c r="B298" s="199" t="s">
        <v>2240</v>
      </c>
      <c r="C298" s="207" t="s">
        <v>198</v>
      </c>
      <c r="D298" s="200">
        <v>15.808999999999999</v>
      </c>
      <c r="E298" s="210"/>
      <c r="F298" s="200"/>
      <c r="G298" s="210"/>
      <c r="H298" s="200"/>
      <c r="I298" s="210"/>
      <c r="J298" s="212" t="s">
        <v>2185</v>
      </c>
    </row>
    <row r="299" spans="1:10" x14ac:dyDescent="0.3">
      <c r="A299" s="223" t="s">
        <v>722</v>
      </c>
      <c r="B299" s="199" t="s">
        <v>723</v>
      </c>
      <c r="C299" s="198" t="s">
        <v>198</v>
      </c>
      <c r="D299" s="200">
        <v>59.654000000000003</v>
      </c>
      <c r="E299" s="201"/>
      <c r="F299" s="202"/>
      <c r="G299" s="201"/>
      <c r="H299" s="202"/>
      <c r="I299" s="203"/>
      <c r="J299" s="204"/>
    </row>
    <row r="300" spans="1:10" x14ac:dyDescent="0.3">
      <c r="A300" s="223" t="s">
        <v>724</v>
      </c>
      <c r="B300" s="199" t="s">
        <v>725</v>
      </c>
      <c r="C300" s="198" t="s">
        <v>198</v>
      </c>
      <c r="D300" s="200">
        <v>205.64500000000001</v>
      </c>
      <c r="E300" s="201"/>
      <c r="F300" s="202"/>
      <c r="G300" s="201"/>
      <c r="H300" s="202"/>
      <c r="I300" s="203"/>
      <c r="J300" s="204"/>
    </row>
    <row r="301" spans="1:10" x14ac:dyDescent="0.3">
      <c r="A301" s="223" t="s">
        <v>726</v>
      </c>
      <c r="B301" s="199" t="s">
        <v>727</v>
      </c>
      <c r="C301" s="198" t="s">
        <v>728</v>
      </c>
      <c r="D301" s="200">
        <v>1.421</v>
      </c>
      <c r="E301" s="201"/>
      <c r="F301" s="202"/>
      <c r="G301" s="201"/>
      <c r="H301" s="202"/>
      <c r="I301" s="203"/>
      <c r="J301" s="204"/>
    </row>
    <row r="302" spans="1:10" x14ac:dyDescent="0.3">
      <c r="A302" s="223" t="s">
        <v>2241</v>
      </c>
      <c r="B302" s="199" t="s">
        <v>2242</v>
      </c>
      <c r="C302" s="198" t="s">
        <v>198</v>
      </c>
      <c r="D302" s="200">
        <v>17.876000000000001</v>
      </c>
      <c r="E302" s="201"/>
      <c r="F302" s="202"/>
      <c r="G302" s="201"/>
      <c r="H302" s="202"/>
      <c r="I302" s="203"/>
      <c r="J302" s="204"/>
    </row>
    <row r="303" spans="1:10" x14ac:dyDescent="0.3">
      <c r="A303" s="223" t="s">
        <v>729</v>
      </c>
      <c r="B303" s="199" t="s">
        <v>730</v>
      </c>
      <c r="C303" s="198" t="s">
        <v>200</v>
      </c>
      <c r="D303" s="200">
        <v>38.195999999999998</v>
      </c>
      <c r="E303" s="201"/>
      <c r="F303" s="202"/>
      <c r="G303" s="201"/>
      <c r="H303" s="202"/>
      <c r="I303" s="203"/>
      <c r="J303" s="204"/>
    </row>
    <row r="304" spans="1:10" x14ac:dyDescent="0.3">
      <c r="A304" s="223" t="s">
        <v>731</v>
      </c>
      <c r="B304" s="199" t="s">
        <v>732</v>
      </c>
      <c r="C304" s="198" t="s">
        <v>198</v>
      </c>
      <c r="D304" s="200">
        <v>2.9169999999999998</v>
      </c>
      <c r="E304" s="201"/>
      <c r="F304" s="202"/>
      <c r="G304" s="201"/>
      <c r="H304" s="202"/>
      <c r="I304" s="203"/>
      <c r="J304" s="204"/>
    </row>
    <row r="305" spans="1:10" x14ac:dyDescent="0.3">
      <c r="A305" s="223" t="s">
        <v>733</v>
      </c>
      <c r="B305" s="199" t="s">
        <v>734</v>
      </c>
      <c r="C305" s="198" t="s">
        <v>735</v>
      </c>
      <c r="D305" s="200">
        <v>4.29</v>
      </c>
      <c r="E305" s="201"/>
      <c r="F305" s="202"/>
      <c r="G305" s="201"/>
      <c r="H305" s="202"/>
      <c r="I305" s="203"/>
      <c r="J305" s="204"/>
    </row>
    <row r="306" spans="1:10" x14ac:dyDescent="0.3">
      <c r="A306" s="224" t="s">
        <v>2243</v>
      </c>
      <c r="B306" s="199" t="s">
        <v>737</v>
      </c>
      <c r="C306" s="207" t="s">
        <v>198</v>
      </c>
      <c r="D306" s="200">
        <v>3.6999999999999998E-2</v>
      </c>
      <c r="E306" s="210"/>
      <c r="F306" s="200"/>
      <c r="G306" s="210"/>
      <c r="H306" s="200"/>
      <c r="I306" s="210"/>
      <c r="J306" s="212" t="s">
        <v>2185</v>
      </c>
    </row>
    <row r="307" spans="1:10" x14ac:dyDescent="0.3">
      <c r="A307" s="223" t="s">
        <v>739</v>
      </c>
      <c r="B307" s="199" t="s">
        <v>740</v>
      </c>
      <c r="C307" s="198" t="s">
        <v>198</v>
      </c>
      <c r="D307" s="200">
        <v>9.2999999999999999E-2</v>
      </c>
      <c r="E307" s="201"/>
      <c r="F307" s="202"/>
      <c r="G307" s="201"/>
      <c r="H307" s="202"/>
      <c r="I307" s="203"/>
      <c r="J307" s="204"/>
    </row>
    <row r="308" spans="1:10" x14ac:dyDescent="0.3">
      <c r="A308" s="223" t="s">
        <v>2097</v>
      </c>
      <c r="B308" s="199" t="s">
        <v>2098</v>
      </c>
      <c r="C308" s="198" t="s">
        <v>199</v>
      </c>
      <c r="D308" s="200">
        <v>41.408999999999999</v>
      </c>
      <c r="E308" s="201"/>
      <c r="F308" s="202"/>
      <c r="G308" s="201"/>
      <c r="H308" s="202"/>
      <c r="I308" s="203"/>
      <c r="J308" s="204"/>
    </row>
    <row r="309" spans="1:10" x14ac:dyDescent="0.3">
      <c r="A309" s="224" t="s">
        <v>741</v>
      </c>
      <c r="B309" s="199" t="s">
        <v>742</v>
      </c>
      <c r="C309" s="207" t="s">
        <v>199</v>
      </c>
      <c r="D309" s="200">
        <v>26.007999999999999</v>
      </c>
      <c r="E309" s="210"/>
      <c r="F309" s="200"/>
      <c r="G309" s="210"/>
      <c r="H309" s="200"/>
      <c r="I309" s="210"/>
      <c r="J309" s="204"/>
    </row>
    <row r="310" spans="1:10" x14ac:dyDescent="0.3">
      <c r="A310" s="223" t="s">
        <v>743</v>
      </c>
      <c r="B310" s="199" t="s">
        <v>744</v>
      </c>
      <c r="C310" s="198" t="s">
        <v>325</v>
      </c>
      <c r="D310" s="200">
        <v>25.120999999999999</v>
      </c>
      <c r="E310" s="201"/>
      <c r="F310" s="202"/>
      <c r="G310" s="201"/>
      <c r="H310" s="202"/>
      <c r="I310" s="203"/>
      <c r="J310" s="204"/>
    </row>
    <row r="311" spans="1:10" x14ac:dyDescent="0.3">
      <c r="A311" s="223" t="s">
        <v>745</v>
      </c>
      <c r="B311" s="199" t="s">
        <v>746</v>
      </c>
      <c r="C311" s="198" t="s">
        <v>198</v>
      </c>
      <c r="D311" s="200">
        <v>13.331</v>
      </c>
      <c r="E311" s="201"/>
      <c r="F311" s="202"/>
      <c r="G311" s="201"/>
      <c r="H311" s="202"/>
      <c r="I311" s="203"/>
      <c r="J311" s="204"/>
    </row>
    <row r="312" spans="1:10" x14ac:dyDescent="0.3">
      <c r="A312" s="223" t="s">
        <v>747</v>
      </c>
      <c r="B312" s="199" t="s">
        <v>748</v>
      </c>
      <c r="C312" s="198" t="s">
        <v>749</v>
      </c>
      <c r="D312" s="200">
        <v>10.38</v>
      </c>
      <c r="E312" s="201"/>
      <c r="F312" s="202"/>
      <c r="G312" s="201"/>
      <c r="H312" s="202"/>
      <c r="I312" s="203"/>
      <c r="J312" s="204"/>
    </row>
    <row r="313" spans="1:10" x14ac:dyDescent="0.3">
      <c r="A313" s="223" t="s">
        <v>750</v>
      </c>
      <c r="B313" s="199" t="s">
        <v>751</v>
      </c>
      <c r="C313" s="198" t="s">
        <v>728</v>
      </c>
      <c r="D313" s="200">
        <v>1.0129999999999999</v>
      </c>
      <c r="E313" s="201"/>
      <c r="F313" s="202"/>
      <c r="G313" s="201"/>
      <c r="H313" s="202"/>
      <c r="I313" s="203"/>
      <c r="J313" s="204"/>
    </row>
    <row r="314" spans="1:10" x14ac:dyDescent="0.3">
      <c r="A314" s="223" t="s">
        <v>752</v>
      </c>
      <c r="B314" s="199" t="s">
        <v>753</v>
      </c>
      <c r="C314" s="198" t="s">
        <v>452</v>
      </c>
      <c r="D314" s="200">
        <v>0.629</v>
      </c>
      <c r="E314" s="201"/>
      <c r="F314" s="202"/>
      <c r="G314" s="201"/>
      <c r="H314" s="202"/>
      <c r="I314" s="203"/>
      <c r="J314" s="204" t="s">
        <v>2244</v>
      </c>
    </row>
    <row r="315" spans="1:10" x14ac:dyDescent="0.3">
      <c r="A315" s="223" t="s">
        <v>2022</v>
      </c>
      <c r="B315" s="199" t="s">
        <v>2023</v>
      </c>
      <c r="C315" s="198" t="s">
        <v>396</v>
      </c>
      <c r="D315" s="200">
        <v>135.166</v>
      </c>
      <c r="E315" s="201"/>
      <c r="F315" s="202"/>
      <c r="G315" s="201"/>
      <c r="H315" s="202"/>
      <c r="I315" s="203"/>
      <c r="J315" s="204"/>
    </row>
    <row r="316" spans="1:10" x14ac:dyDescent="0.3">
      <c r="A316" s="223" t="s">
        <v>763</v>
      </c>
      <c r="B316" s="199" t="s">
        <v>764</v>
      </c>
      <c r="C316" s="198" t="s">
        <v>198</v>
      </c>
      <c r="D316" s="200">
        <v>3194.98</v>
      </c>
      <c r="E316" s="201"/>
      <c r="F316" s="202"/>
      <c r="G316" s="201"/>
      <c r="H316" s="202"/>
      <c r="I316" s="203"/>
      <c r="J316" s="204"/>
    </row>
    <row r="317" spans="1:10" x14ac:dyDescent="0.3">
      <c r="A317" s="223" t="s">
        <v>765</v>
      </c>
      <c r="B317" s="199" t="s">
        <v>766</v>
      </c>
      <c r="C317" s="198" t="s">
        <v>767</v>
      </c>
      <c r="D317" s="200">
        <v>38.124000000000002</v>
      </c>
      <c r="E317" s="201"/>
      <c r="F317" s="202"/>
      <c r="G317" s="201"/>
      <c r="H317" s="202"/>
      <c r="I317" s="203"/>
      <c r="J317" s="204"/>
    </row>
    <row r="318" spans="1:10" s="216" customFormat="1" ht="13.2" x14ac:dyDescent="0.25">
      <c r="A318" s="223" t="s">
        <v>768</v>
      </c>
      <c r="B318" s="199" t="s">
        <v>769</v>
      </c>
      <c r="C318" s="198" t="s">
        <v>209</v>
      </c>
      <c r="D318" s="200">
        <v>22.6</v>
      </c>
      <c r="E318" s="201"/>
      <c r="F318" s="202"/>
      <c r="G318" s="201"/>
      <c r="H318" s="202"/>
      <c r="I318" s="203"/>
      <c r="J318" s="204"/>
    </row>
    <row r="319" spans="1:10" x14ac:dyDescent="0.3">
      <c r="A319" s="223" t="s">
        <v>770</v>
      </c>
      <c r="B319" s="199" t="s">
        <v>771</v>
      </c>
      <c r="C319" s="198" t="s">
        <v>767</v>
      </c>
      <c r="D319" s="200">
        <v>0.78200000000000003</v>
      </c>
      <c r="E319" s="201"/>
      <c r="F319" s="202"/>
      <c r="G319" s="201"/>
      <c r="H319" s="202"/>
      <c r="I319" s="203"/>
      <c r="J319" s="204"/>
    </row>
    <row r="320" spans="1:10" x14ac:dyDescent="0.3">
      <c r="A320" s="223" t="s">
        <v>772</v>
      </c>
      <c r="B320" s="199" t="s">
        <v>773</v>
      </c>
      <c r="C320" s="198" t="s">
        <v>774</v>
      </c>
      <c r="D320" s="200">
        <v>1.5229999999999999</v>
      </c>
      <c r="E320" s="201"/>
      <c r="F320" s="202"/>
      <c r="G320" s="201"/>
      <c r="H320" s="202"/>
      <c r="I320" s="203"/>
      <c r="J320" s="204"/>
    </row>
    <row r="321" spans="1:10" x14ac:dyDescent="0.3">
      <c r="A321" s="223" t="s">
        <v>775</v>
      </c>
      <c r="B321" s="199" t="s">
        <v>776</v>
      </c>
      <c r="C321" s="198" t="s">
        <v>683</v>
      </c>
      <c r="D321" s="200">
        <v>99.769000000000005</v>
      </c>
      <c r="E321" s="201"/>
      <c r="F321" s="202"/>
      <c r="G321" s="201"/>
      <c r="H321" s="202"/>
      <c r="I321" s="203"/>
      <c r="J321" s="204"/>
    </row>
    <row r="322" spans="1:10" x14ac:dyDescent="0.3">
      <c r="A322" s="223" t="s">
        <v>777</v>
      </c>
      <c r="B322" s="199" t="s">
        <v>778</v>
      </c>
      <c r="C322" s="198" t="s">
        <v>209</v>
      </c>
      <c r="D322" s="200">
        <v>3.2160000000000002</v>
      </c>
      <c r="E322" s="201"/>
      <c r="F322" s="202"/>
      <c r="G322" s="201"/>
      <c r="H322" s="202"/>
      <c r="I322" s="203"/>
      <c r="J322" s="204"/>
    </row>
    <row r="323" spans="1:10" x14ac:dyDescent="0.3">
      <c r="A323" s="223" t="s">
        <v>779</v>
      </c>
      <c r="B323" s="199" t="s">
        <v>780</v>
      </c>
      <c r="C323" s="198" t="s">
        <v>781</v>
      </c>
      <c r="D323" s="200">
        <v>45.854999999999997</v>
      </c>
      <c r="E323" s="201"/>
      <c r="F323" s="202"/>
      <c r="G323" s="201"/>
      <c r="H323" s="202"/>
      <c r="I323" s="203"/>
      <c r="J323" s="204"/>
    </row>
    <row r="324" spans="1:10" x14ac:dyDescent="0.3">
      <c r="A324" s="224" t="s">
        <v>782</v>
      </c>
      <c r="B324" s="199" t="s">
        <v>783</v>
      </c>
      <c r="C324" s="198" t="s">
        <v>198</v>
      </c>
      <c r="D324" s="200">
        <v>401.92200000000003</v>
      </c>
      <c r="E324" s="201"/>
      <c r="F324" s="200"/>
      <c r="G324" s="201"/>
      <c r="H324" s="200"/>
      <c r="I324" s="203"/>
      <c r="J324" s="204"/>
    </row>
    <row r="325" spans="1:10" x14ac:dyDescent="0.3">
      <c r="A325" s="223" t="s">
        <v>784</v>
      </c>
      <c r="B325" s="199" t="s">
        <v>785</v>
      </c>
      <c r="C325" s="198" t="s">
        <v>452</v>
      </c>
      <c r="D325" s="200">
        <v>7.3330000000000002</v>
      </c>
      <c r="E325" s="201"/>
      <c r="F325" s="202"/>
      <c r="G325" s="201"/>
      <c r="H325" s="202"/>
      <c r="I325" s="203"/>
      <c r="J325" s="204"/>
    </row>
    <row r="326" spans="1:10" x14ac:dyDescent="0.3">
      <c r="A326" s="223" t="s">
        <v>786</v>
      </c>
      <c r="B326" s="199" t="s">
        <v>787</v>
      </c>
      <c r="C326" s="198" t="s">
        <v>209</v>
      </c>
      <c r="D326" s="200">
        <v>0.93899999999999995</v>
      </c>
      <c r="E326" s="201"/>
      <c r="F326" s="202"/>
      <c r="G326" s="201"/>
      <c r="H326" s="202"/>
      <c r="I326" s="203"/>
      <c r="J326" s="204"/>
    </row>
    <row r="327" spans="1:10" x14ac:dyDescent="0.3">
      <c r="A327" s="223" t="s">
        <v>788</v>
      </c>
      <c r="B327" s="199" t="s">
        <v>789</v>
      </c>
      <c r="C327" s="198" t="s">
        <v>553</v>
      </c>
      <c r="D327" s="200">
        <v>9.5950000000000006</v>
      </c>
      <c r="E327" s="201"/>
      <c r="F327" s="202"/>
      <c r="G327" s="201"/>
      <c r="H327" s="202"/>
      <c r="I327" s="203"/>
      <c r="J327" s="204"/>
    </row>
    <row r="328" spans="1:10" x14ac:dyDescent="0.3">
      <c r="A328" s="223" t="s">
        <v>790</v>
      </c>
      <c r="B328" s="199" t="s">
        <v>791</v>
      </c>
      <c r="C328" s="198" t="s">
        <v>405</v>
      </c>
      <c r="D328" s="200">
        <v>95.441000000000003</v>
      </c>
      <c r="E328" s="201"/>
      <c r="F328" s="202"/>
      <c r="G328" s="201"/>
      <c r="H328" s="202"/>
      <c r="I328" s="203"/>
      <c r="J328" s="204"/>
    </row>
    <row r="329" spans="1:10" x14ac:dyDescent="0.3">
      <c r="A329" s="223" t="s">
        <v>792</v>
      </c>
      <c r="B329" s="199" t="s">
        <v>793</v>
      </c>
      <c r="C329" s="198" t="s">
        <v>295</v>
      </c>
      <c r="D329" s="200">
        <v>1.284</v>
      </c>
      <c r="E329" s="201"/>
      <c r="F329" s="202"/>
      <c r="G329" s="201"/>
      <c r="H329" s="202"/>
      <c r="I329" s="203"/>
      <c r="J329" s="204"/>
    </row>
    <row r="330" spans="1:10" x14ac:dyDescent="0.3">
      <c r="A330" s="223" t="s">
        <v>794</v>
      </c>
      <c r="B330" s="199" t="s">
        <v>795</v>
      </c>
      <c r="C330" s="198" t="s">
        <v>199</v>
      </c>
      <c r="D330" s="200">
        <v>0.14099999999999999</v>
      </c>
      <c r="E330" s="201"/>
      <c r="F330" s="202"/>
      <c r="G330" s="201"/>
      <c r="H330" s="202"/>
      <c r="I330" s="203"/>
      <c r="J330" s="204"/>
    </row>
    <row r="331" spans="1:10" x14ac:dyDescent="0.3">
      <c r="A331" s="223" t="s">
        <v>796</v>
      </c>
      <c r="B331" s="199" t="s">
        <v>797</v>
      </c>
      <c r="C331" s="198" t="s">
        <v>199</v>
      </c>
      <c r="D331" s="200">
        <v>1.0229999999999999</v>
      </c>
      <c r="E331" s="201"/>
      <c r="F331" s="202"/>
      <c r="G331" s="201"/>
      <c r="H331" s="202"/>
      <c r="I331" s="203"/>
      <c r="J331" s="204" t="s">
        <v>2244</v>
      </c>
    </row>
    <row r="332" spans="1:10" x14ac:dyDescent="0.3">
      <c r="A332" s="223" t="s">
        <v>798</v>
      </c>
      <c r="B332" s="199" t="s">
        <v>799</v>
      </c>
      <c r="C332" s="198" t="s">
        <v>371</v>
      </c>
      <c r="D332" s="200">
        <v>15.087</v>
      </c>
      <c r="E332" s="201"/>
      <c r="F332" s="202"/>
      <c r="G332" s="201"/>
      <c r="H332" s="202"/>
      <c r="I332" s="203"/>
      <c r="J332" s="204"/>
    </row>
    <row r="333" spans="1:10" x14ac:dyDescent="0.3">
      <c r="A333" s="223" t="s">
        <v>800</v>
      </c>
      <c r="B333" s="199" t="s">
        <v>801</v>
      </c>
      <c r="C333" s="198" t="s">
        <v>200</v>
      </c>
      <c r="D333" s="200">
        <v>450.35500000000002</v>
      </c>
      <c r="E333" s="201"/>
      <c r="F333" s="202"/>
      <c r="G333" s="201"/>
      <c r="H333" s="202"/>
      <c r="I333" s="203"/>
      <c r="J333" s="203"/>
    </row>
    <row r="334" spans="1:10" x14ac:dyDescent="0.3">
      <c r="A334" s="223" t="s">
        <v>802</v>
      </c>
      <c r="B334" s="199" t="s">
        <v>803</v>
      </c>
      <c r="C334" s="198" t="s">
        <v>199</v>
      </c>
      <c r="D334" s="200">
        <v>1.1020000000000001</v>
      </c>
      <c r="E334" s="201"/>
      <c r="F334" s="202"/>
      <c r="G334" s="201"/>
      <c r="H334" s="202"/>
      <c r="I334" s="203"/>
      <c r="J334" s="204"/>
    </row>
    <row r="335" spans="1:10" x14ac:dyDescent="0.3">
      <c r="A335" s="223" t="s">
        <v>804</v>
      </c>
      <c r="B335" s="199" t="s">
        <v>805</v>
      </c>
      <c r="C335" s="198" t="s">
        <v>284</v>
      </c>
      <c r="D335" s="200">
        <v>493.97</v>
      </c>
      <c r="E335" s="201"/>
      <c r="F335" s="202"/>
      <c r="G335" s="201"/>
      <c r="H335" s="202"/>
      <c r="I335" s="203"/>
      <c r="J335" s="204"/>
    </row>
    <row r="336" spans="1:10" x14ac:dyDescent="0.3">
      <c r="A336" s="223" t="s">
        <v>2245</v>
      </c>
      <c r="B336" s="199" t="s">
        <v>2246</v>
      </c>
      <c r="C336" s="198" t="s">
        <v>273</v>
      </c>
      <c r="D336" s="200">
        <v>37.671999999999997</v>
      </c>
      <c r="E336" s="201"/>
      <c r="F336" s="202"/>
      <c r="G336" s="201"/>
      <c r="H336" s="202"/>
      <c r="I336" s="203"/>
      <c r="J336" s="204"/>
    </row>
    <row r="337" spans="1:10" x14ac:dyDescent="0.3">
      <c r="A337" s="223" t="s">
        <v>806</v>
      </c>
      <c r="B337" s="199" t="s">
        <v>807</v>
      </c>
      <c r="C337" s="198" t="s">
        <v>808</v>
      </c>
      <c r="D337" s="200">
        <v>237.19499999999999</v>
      </c>
      <c r="E337" s="201"/>
      <c r="F337" s="202"/>
      <c r="G337" s="201"/>
      <c r="H337" s="202"/>
      <c r="I337" s="203"/>
      <c r="J337" s="204"/>
    </row>
    <row r="338" spans="1:10" x14ac:dyDescent="0.3">
      <c r="A338" s="223" t="s">
        <v>2108</v>
      </c>
      <c r="B338" s="199" t="s">
        <v>2109</v>
      </c>
      <c r="C338" s="198" t="s">
        <v>273</v>
      </c>
      <c r="D338" s="200">
        <v>82.07</v>
      </c>
      <c r="E338" s="201"/>
      <c r="F338" s="202"/>
      <c r="G338" s="201"/>
      <c r="H338" s="202"/>
      <c r="I338" s="203"/>
      <c r="J338" s="204"/>
    </row>
    <row r="339" spans="1:10" x14ac:dyDescent="0.3">
      <c r="A339" s="223" t="s">
        <v>811</v>
      </c>
      <c r="B339" s="199" t="s">
        <v>812</v>
      </c>
      <c r="C339" s="198" t="s">
        <v>396</v>
      </c>
      <c r="D339" s="200">
        <v>340.86399999999998</v>
      </c>
      <c r="E339" s="201"/>
      <c r="F339" s="202"/>
      <c r="G339" s="201"/>
      <c r="H339" s="202"/>
      <c r="I339" s="203"/>
      <c r="J339" s="204"/>
    </row>
    <row r="340" spans="1:10" x14ac:dyDescent="0.3">
      <c r="A340" s="223" t="s">
        <v>813</v>
      </c>
      <c r="B340" s="199" t="s">
        <v>814</v>
      </c>
      <c r="C340" s="198" t="s">
        <v>273</v>
      </c>
      <c r="D340" s="200">
        <v>61.151000000000003</v>
      </c>
      <c r="E340" s="201"/>
      <c r="F340" s="202"/>
      <c r="G340" s="201"/>
      <c r="H340" s="202"/>
      <c r="I340" s="203"/>
      <c r="J340" s="204"/>
    </row>
    <row r="341" spans="1:10" x14ac:dyDescent="0.3">
      <c r="A341" s="223" t="s">
        <v>815</v>
      </c>
      <c r="B341" s="199" t="s">
        <v>816</v>
      </c>
      <c r="C341" s="207" t="s">
        <v>198</v>
      </c>
      <c r="D341" s="200">
        <v>10.1</v>
      </c>
      <c r="E341" s="201"/>
      <c r="F341" s="202"/>
      <c r="G341" s="201"/>
      <c r="H341" s="202"/>
      <c r="I341" s="203"/>
      <c r="J341" s="204"/>
    </row>
    <row r="342" spans="1:10" x14ac:dyDescent="0.3">
      <c r="A342" s="223" t="s">
        <v>817</v>
      </c>
      <c r="B342" s="199" t="s">
        <v>818</v>
      </c>
      <c r="C342" s="198" t="s">
        <v>819</v>
      </c>
      <c r="D342" s="200">
        <v>24.34</v>
      </c>
      <c r="E342" s="201"/>
      <c r="F342" s="202"/>
      <c r="G342" s="201"/>
      <c r="H342" s="202"/>
      <c r="I342" s="203"/>
      <c r="J342" s="204"/>
    </row>
    <row r="343" spans="1:10" x14ac:dyDescent="0.3">
      <c r="A343" s="223" t="s">
        <v>820</v>
      </c>
      <c r="B343" s="199" t="s">
        <v>821</v>
      </c>
      <c r="C343" s="198" t="s">
        <v>822</v>
      </c>
      <c r="D343" s="200">
        <v>81.772000000000006</v>
      </c>
      <c r="E343" s="201"/>
      <c r="F343" s="202"/>
      <c r="G343" s="201"/>
      <c r="H343" s="202"/>
      <c r="I343" s="203"/>
      <c r="J343" s="204"/>
    </row>
    <row r="344" spans="1:10" x14ac:dyDescent="0.3">
      <c r="A344" s="223" t="s">
        <v>823</v>
      </c>
      <c r="B344" s="199" t="s">
        <v>824</v>
      </c>
      <c r="C344" s="198" t="s">
        <v>825</v>
      </c>
      <c r="D344" s="200">
        <v>4.9749999999999996</v>
      </c>
      <c r="E344" s="201"/>
      <c r="F344" s="202"/>
      <c r="G344" s="201"/>
      <c r="H344" s="202"/>
      <c r="I344" s="203"/>
      <c r="J344" s="204"/>
    </row>
    <row r="345" spans="1:10" x14ac:dyDescent="0.3">
      <c r="A345" s="223" t="s">
        <v>826</v>
      </c>
      <c r="B345" s="199" t="s">
        <v>827</v>
      </c>
      <c r="C345" s="198" t="s">
        <v>825</v>
      </c>
      <c r="D345" s="200">
        <v>32.923000000000002</v>
      </c>
      <c r="E345" s="201"/>
      <c r="F345" s="202"/>
      <c r="G345" s="201"/>
      <c r="H345" s="202"/>
      <c r="I345" s="203"/>
      <c r="J345" s="204"/>
    </row>
    <row r="346" spans="1:10" x14ac:dyDescent="0.3">
      <c r="A346" s="223" t="s">
        <v>828</v>
      </c>
      <c r="B346" s="199" t="s">
        <v>1573</v>
      </c>
      <c r="C346" s="198" t="s">
        <v>396</v>
      </c>
      <c r="D346" s="200">
        <v>11.586</v>
      </c>
      <c r="E346" s="201"/>
      <c r="F346" s="202"/>
      <c r="G346" s="201"/>
      <c r="H346" s="202"/>
      <c r="I346" s="203"/>
      <c r="J346" s="204"/>
    </row>
    <row r="347" spans="1:10" x14ac:dyDescent="0.3">
      <c r="A347" s="223" t="s">
        <v>830</v>
      </c>
      <c r="B347" s="199" t="s">
        <v>831</v>
      </c>
      <c r="C347" s="198" t="s">
        <v>198</v>
      </c>
      <c r="D347" s="200">
        <v>7.0999999999999994E-2</v>
      </c>
      <c r="E347" s="201"/>
      <c r="F347" s="202"/>
      <c r="G347" s="201"/>
      <c r="H347" s="202"/>
      <c r="I347" s="203"/>
      <c r="J347" s="204"/>
    </row>
    <row r="348" spans="1:10" x14ac:dyDescent="0.3">
      <c r="A348" s="225" t="s">
        <v>832</v>
      </c>
      <c r="B348" s="199" t="s">
        <v>833</v>
      </c>
      <c r="C348" s="198" t="s">
        <v>834</v>
      </c>
      <c r="D348" s="200">
        <v>91.241</v>
      </c>
      <c r="E348" s="201"/>
      <c r="F348" s="202"/>
      <c r="G348" s="201"/>
      <c r="H348" s="202"/>
      <c r="I348" s="203"/>
      <c r="J348" s="204"/>
    </row>
    <row r="349" spans="1:10" x14ac:dyDescent="0.3">
      <c r="A349" s="223" t="s">
        <v>1574</v>
      </c>
      <c r="B349" s="199" t="s">
        <v>1575</v>
      </c>
      <c r="C349" s="198" t="s">
        <v>1576</v>
      </c>
      <c r="D349" s="200">
        <v>11.212999999999999</v>
      </c>
      <c r="E349" s="201"/>
      <c r="F349" s="202"/>
      <c r="G349" s="201"/>
      <c r="H349" s="202"/>
      <c r="I349" s="203"/>
      <c r="J349" s="204"/>
    </row>
    <row r="350" spans="1:10" x14ac:dyDescent="0.3">
      <c r="A350" s="223" t="s">
        <v>835</v>
      </c>
      <c r="B350" s="199" t="s">
        <v>836</v>
      </c>
      <c r="C350" s="198" t="s">
        <v>381</v>
      </c>
      <c r="D350" s="200">
        <v>6.2220000000000004</v>
      </c>
      <c r="E350" s="201"/>
      <c r="F350" s="202"/>
      <c r="G350" s="201"/>
      <c r="H350" s="202"/>
      <c r="I350" s="203"/>
      <c r="J350" s="204"/>
    </row>
    <row r="351" spans="1:10" x14ac:dyDescent="0.3">
      <c r="A351" s="223" t="s">
        <v>837</v>
      </c>
      <c r="B351" s="199" t="s">
        <v>838</v>
      </c>
      <c r="C351" s="198" t="s">
        <v>839</v>
      </c>
      <c r="D351" s="200">
        <v>123.087</v>
      </c>
      <c r="E351" s="201"/>
      <c r="F351" s="202"/>
      <c r="G351" s="201"/>
      <c r="H351" s="202"/>
      <c r="I351" s="203"/>
      <c r="J351" s="204"/>
    </row>
    <row r="352" spans="1:10" x14ac:dyDescent="0.3">
      <c r="A352" s="223" t="s">
        <v>842</v>
      </c>
      <c r="B352" s="199" t="s">
        <v>843</v>
      </c>
      <c r="C352" s="198" t="s">
        <v>325</v>
      </c>
      <c r="D352" s="200">
        <v>56.500999999999998</v>
      </c>
      <c r="E352" s="201"/>
      <c r="F352" s="202"/>
      <c r="G352" s="201"/>
      <c r="H352" s="202"/>
      <c r="I352" s="203"/>
      <c r="J352" s="204"/>
    </row>
    <row r="353" spans="1:10" x14ac:dyDescent="0.3">
      <c r="A353" s="223" t="s">
        <v>844</v>
      </c>
      <c r="B353" s="199" t="s">
        <v>845</v>
      </c>
      <c r="C353" s="198" t="s">
        <v>199</v>
      </c>
      <c r="D353" s="200">
        <v>133.108</v>
      </c>
      <c r="E353" s="201"/>
      <c r="F353" s="202"/>
      <c r="G353" s="201"/>
      <c r="H353" s="202"/>
      <c r="I353" s="203"/>
      <c r="J353" s="204"/>
    </row>
    <row r="354" spans="1:10" x14ac:dyDescent="0.3">
      <c r="A354" s="223" t="s">
        <v>846</v>
      </c>
      <c r="B354" s="199" t="s">
        <v>847</v>
      </c>
      <c r="C354" s="198" t="s">
        <v>848</v>
      </c>
      <c r="D354" s="200">
        <v>2.0910000000000002</v>
      </c>
      <c r="E354" s="201"/>
      <c r="F354" s="202"/>
      <c r="G354" s="201"/>
      <c r="H354" s="202"/>
      <c r="I354" s="203"/>
      <c r="J354" s="204"/>
    </row>
    <row r="355" spans="1:10" x14ac:dyDescent="0.3">
      <c r="A355" s="223" t="s">
        <v>849</v>
      </c>
      <c r="B355" s="199" t="s">
        <v>850</v>
      </c>
      <c r="C355" s="198" t="s">
        <v>491</v>
      </c>
      <c r="D355" s="200">
        <v>4.0789999999999997</v>
      </c>
      <c r="E355" s="201"/>
      <c r="F355" s="202"/>
      <c r="G355" s="201"/>
      <c r="H355" s="202"/>
      <c r="I355" s="203"/>
      <c r="J355" s="204"/>
    </row>
    <row r="356" spans="1:10" x14ac:dyDescent="0.3">
      <c r="A356" s="223" t="s">
        <v>851</v>
      </c>
      <c r="B356" s="199" t="s">
        <v>850</v>
      </c>
      <c r="C356" s="198" t="s">
        <v>852</v>
      </c>
      <c r="D356" s="200">
        <v>5.9489999999999998</v>
      </c>
      <c r="E356" s="201"/>
      <c r="F356" s="202"/>
      <c r="G356" s="201"/>
      <c r="H356" s="202"/>
      <c r="I356" s="203"/>
      <c r="J356" s="204"/>
    </row>
    <row r="357" spans="1:10" x14ac:dyDescent="0.3">
      <c r="A357" s="223" t="s">
        <v>853</v>
      </c>
      <c r="B357" s="199" t="s">
        <v>854</v>
      </c>
      <c r="C357" s="198" t="s">
        <v>198</v>
      </c>
      <c r="D357" s="200">
        <v>88.034000000000006</v>
      </c>
      <c r="E357" s="201"/>
      <c r="F357" s="202"/>
      <c r="G357" s="201"/>
      <c r="H357" s="202"/>
      <c r="I357" s="203"/>
      <c r="J357" s="204"/>
    </row>
    <row r="358" spans="1:10" x14ac:dyDescent="0.3">
      <c r="A358" s="223" t="s">
        <v>855</v>
      </c>
      <c r="B358" s="199" t="s">
        <v>856</v>
      </c>
      <c r="C358" s="198" t="s">
        <v>405</v>
      </c>
      <c r="D358" s="200">
        <v>38.164000000000001</v>
      </c>
      <c r="E358" s="201"/>
      <c r="F358" s="202"/>
      <c r="G358" s="201"/>
      <c r="H358" s="202"/>
      <c r="I358" s="203"/>
      <c r="J358" s="204"/>
    </row>
    <row r="359" spans="1:10" x14ac:dyDescent="0.3">
      <c r="A359" s="223" t="s">
        <v>857</v>
      </c>
      <c r="B359" s="199" t="s">
        <v>858</v>
      </c>
      <c r="C359" s="198" t="s">
        <v>273</v>
      </c>
      <c r="D359" s="200">
        <v>0.91800000000000004</v>
      </c>
      <c r="E359" s="201"/>
      <c r="F359" s="202"/>
      <c r="G359" s="201"/>
      <c r="H359" s="202"/>
      <c r="I359" s="203"/>
      <c r="J359" s="204"/>
    </row>
    <row r="360" spans="1:10" x14ac:dyDescent="0.3">
      <c r="A360" s="223" t="s">
        <v>1948</v>
      </c>
      <c r="B360" s="199" t="s">
        <v>1949</v>
      </c>
      <c r="C360" s="198" t="s">
        <v>198</v>
      </c>
      <c r="D360" s="200">
        <v>16.888000000000002</v>
      </c>
      <c r="E360" s="201"/>
      <c r="F360" s="202"/>
      <c r="G360" s="201"/>
      <c r="H360" s="202"/>
      <c r="I360" s="203"/>
      <c r="J360" s="204"/>
    </row>
    <row r="361" spans="1:10" x14ac:dyDescent="0.3">
      <c r="A361" s="224" t="s">
        <v>859</v>
      </c>
      <c r="B361" s="199" t="s">
        <v>860</v>
      </c>
      <c r="C361" s="207" t="s">
        <v>371</v>
      </c>
      <c r="D361" s="200">
        <v>41.994999999999997</v>
      </c>
      <c r="E361" s="210"/>
      <c r="F361" s="200"/>
      <c r="G361" s="210"/>
      <c r="H361" s="200"/>
      <c r="I361" s="210"/>
      <c r="J361" s="204"/>
    </row>
    <row r="362" spans="1:10" x14ac:dyDescent="0.3">
      <c r="A362" s="224" t="s">
        <v>863</v>
      </c>
      <c r="B362" s="199" t="s">
        <v>864</v>
      </c>
      <c r="C362" s="207" t="s">
        <v>198</v>
      </c>
      <c r="D362" s="200">
        <v>1.7430000000000001</v>
      </c>
      <c r="E362" s="210"/>
      <c r="F362" s="200"/>
      <c r="G362" s="210"/>
      <c r="H362" s="200"/>
      <c r="I362" s="210"/>
      <c r="J362" s="204"/>
    </row>
    <row r="363" spans="1:10" x14ac:dyDescent="0.3">
      <c r="A363" s="223" t="s">
        <v>865</v>
      </c>
      <c r="B363" s="199" t="s">
        <v>866</v>
      </c>
      <c r="C363" s="198" t="s">
        <v>199</v>
      </c>
      <c r="D363" s="200">
        <v>6.9829999999999997</v>
      </c>
      <c r="E363" s="201"/>
      <c r="F363" s="202"/>
      <c r="G363" s="201"/>
      <c r="H363" s="202"/>
      <c r="I363" s="203"/>
      <c r="J363" s="204"/>
    </row>
    <row r="364" spans="1:10" x14ac:dyDescent="0.3">
      <c r="A364" s="223" t="s">
        <v>867</v>
      </c>
      <c r="B364" s="199" t="s">
        <v>868</v>
      </c>
      <c r="C364" s="198" t="s">
        <v>198</v>
      </c>
      <c r="D364" s="200">
        <v>143.65100000000001</v>
      </c>
      <c r="E364" s="201"/>
      <c r="F364" s="202"/>
      <c r="G364" s="201"/>
      <c r="H364" s="202"/>
      <c r="I364" s="203"/>
      <c r="J364" s="204"/>
    </row>
    <row r="365" spans="1:10" x14ac:dyDescent="0.3">
      <c r="A365" s="223" t="s">
        <v>869</v>
      </c>
      <c r="B365" s="199" t="s">
        <v>870</v>
      </c>
      <c r="C365" s="198" t="s">
        <v>198</v>
      </c>
      <c r="D365" s="200">
        <v>1.321</v>
      </c>
      <c r="E365" s="201"/>
      <c r="F365" s="202"/>
      <c r="G365" s="201"/>
      <c r="H365" s="202"/>
      <c r="I365" s="203"/>
      <c r="J365" s="204"/>
    </row>
    <row r="366" spans="1:10" x14ac:dyDescent="0.3">
      <c r="A366" s="223" t="s">
        <v>1577</v>
      </c>
      <c r="B366" s="199" t="s">
        <v>1578</v>
      </c>
      <c r="C366" s="198" t="s">
        <v>198</v>
      </c>
      <c r="D366" s="200">
        <v>9.9570000000000007</v>
      </c>
      <c r="E366" s="201"/>
      <c r="F366" s="202"/>
      <c r="G366" s="201"/>
      <c r="H366" s="202"/>
      <c r="I366" s="203"/>
      <c r="J366" s="204"/>
    </row>
    <row r="367" spans="1:10" x14ac:dyDescent="0.3">
      <c r="A367" s="223" t="s">
        <v>871</v>
      </c>
      <c r="B367" s="199" t="s">
        <v>872</v>
      </c>
      <c r="C367" s="198" t="s">
        <v>198</v>
      </c>
      <c r="D367" s="200">
        <v>4.7E-2</v>
      </c>
      <c r="E367" s="201"/>
      <c r="F367" s="202"/>
      <c r="G367" s="201"/>
      <c r="H367" s="202"/>
      <c r="I367" s="203"/>
      <c r="J367" s="204"/>
    </row>
    <row r="368" spans="1:10" x14ac:dyDescent="0.3">
      <c r="A368" s="223" t="s">
        <v>873</v>
      </c>
      <c r="B368" s="199" t="s">
        <v>874</v>
      </c>
      <c r="C368" s="207" t="s">
        <v>198</v>
      </c>
      <c r="D368" s="200">
        <v>1.7909999999999999</v>
      </c>
      <c r="E368" s="201"/>
      <c r="F368" s="202"/>
      <c r="G368" s="201"/>
      <c r="H368" s="202"/>
      <c r="I368" s="203"/>
      <c r="J368" s="204"/>
    </row>
    <row r="369" spans="1:10" x14ac:dyDescent="0.3">
      <c r="A369" s="223" t="s">
        <v>875</v>
      </c>
      <c r="B369" s="199" t="s">
        <v>876</v>
      </c>
      <c r="C369" s="198" t="s">
        <v>209</v>
      </c>
      <c r="D369" s="200">
        <v>36.369999999999997</v>
      </c>
      <c r="E369" s="201"/>
      <c r="F369" s="202"/>
      <c r="G369" s="201"/>
      <c r="H369" s="202"/>
      <c r="I369" s="203"/>
      <c r="J369" s="204"/>
    </row>
    <row r="370" spans="1:10" x14ac:dyDescent="0.3">
      <c r="A370" s="223" t="s">
        <v>877</v>
      </c>
      <c r="B370" s="199" t="s">
        <v>878</v>
      </c>
      <c r="C370" s="198" t="s">
        <v>879</v>
      </c>
      <c r="D370" s="200">
        <v>1924.941</v>
      </c>
      <c r="E370" s="201"/>
      <c r="F370" s="202"/>
      <c r="G370" s="201"/>
      <c r="H370" s="202"/>
      <c r="I370" s="203"/>
      <c r="J370" s="204"/>
    </row>
    <row r="371" spans="1:10" x14ac:dyDescent="0.3">
      <c r="A371" s="223" t="s">
        <v>1950</v>
      </c>
      <c r="B371" s="199" t="s">
        <v>1951</v>
      </c>
      <c r="C371" s="198" t="s">
        <v>199</v>
      </c>
      <c r="D371" s="200">
        <v>321.88200000000001</v>
      </c>
      <c r="E371" s="201"/>
      <c r="F371" s="202"/>
      <c r="G371" s="201"/>
      <c r="H371" s="202"/>
      <c r="I371" s="203"/>
      <c r="J371" s="204"/>
    </row>
    <row r="372" spans="1:10" x14ac:dyDescent="0.3">
      <c r="A372" s="223" t="s">
        <v>880</v>
      </c>
      <c r="B372" s="199" t="s">
        <v>881</v>
      </c>
      <c r="C372" s="198" t="s">
        <v>198</v>
      </c>
      <c r="D372" s="200">
        <v>0.70899999999999996</v>
      </c>
      <c r="E372" s="201"/>
      <c r="F372" s="202"/>
      <c r="G372" s="201"/>
      <c r="H372" s="202"/>
      <c r="I372" s="203"/>
      <c r="J372" s="204"/>
    </row>
    <row r="373" spans="1:10" x14ac:dyDescent="0.3">
      <c r="A373" s="223" t="s">
        <v>882</v>
      </c>
      <c r="B373" s="199" t="s">
        <v>883</v>
      </c>
      <c r="C373" s="198" t="s">
        <v>198</v>
      </c>
      <c r="D373" s="200">
        <v>137.43199999999999</v>
      </c>
      <c r="E373" s="201"/>
      <c r="F373" s="202"/>
      <c r="G373" s="201"/>
      <c r="H373" s="202"/>
      <c r="I373" s="203"/>
      <c r="J373" s="204"/>
    </row>
    <row r="374" spans="1:10" x14ac:dyDescent="0.3">
      <c r="A374" s="223" t="s">
        <v>884</v>
      </c>
      <c r="B374" s="199" t="s">
        <v>885</v>
      </c>
      <c r="C374" s="198" t="s">
        <v>442</v>
      </c>
      <c r="D374" s="200">
        <v>43.040999999999997</v>
      </c>
      <c r="E374" s="201"/>
      <c r="F374" s="202"/>
      <c r="G374" s="201"/>
      <c r="H374" s="202"/>
      <c r="I374" s="203"/>
      <c r="J374" s="204"/>
    </row>
    <row r="375" spans="1:10" x14ac:dyDescent="0.3">
      <c r="A375" s="223" t="s">
        <v>886</v>
      </c>
      <c r="B375" s="199" t="s">
        <v>887</v>
      </c>
      <c r="C375" s="198" t="s">
        <v>494</v>
      </c>
      <c r="D375" s="200">
        <v>2.7170000000000001</v>
      </c>
      <c r="E375" s="201"/>
      <c r="F375" s="202"/>
      <c r="G375" s="201"/>
      <c r="H375" s="202"/>
      <c r="I375" s="203"/>
      <c r="J375" s="204"/>
    </row>
    <row r="376" spans="1:10" x14ac:dyDescent="0.3">
      <c r="A376" s="223" t="s">
        <v>888</v>
      </c>
      <c r="B376" s="199" t="s">
        <v>889</v>
      </c>
      <c r="C376" s="198" t="s">
        <v>198</v>
      </c>
      <c r="D376" s="200">
        <v>5.9889999999999999</v>
      </c>
      <c r="E376" s="201"/>
      <c r="F376" s="202"/>
      <c r="G376" s="201"/>
      <c r="H376" s="202"/>
      <c r="I376" s="203"/>
      <c r="J376" s="204"/>
    </row>
    <row r="377" spans="1:10" x14ac:dyDescent="0.3">
      <c r="A377" s="223" t="s">
        <v>890</v>
      </c>
      <c r="B377" s="199" t="s">
        <v>891</v>
      </c>
      <c r="C377" s="198" t="s">
        <v>198</v>
      </c>
      <c r="D377" s="200">
        <v>55.527000000000001</v>
      </c>
      <c r="E377" s="201"/>
      <c r="F377" s="202"/>
      <c r="G377" s="201"/>
      <c r="H377" s="202"/>
      <c r="I377" s="203"/>
      <c r="J377" s="204"/>
    </row>
    <row r="378" spans="1:10" x14ac:dyDescent="0.3">
      <c r="A378" s="224" t="s">
        <v>2247</v>
      </c>
      <c r="B378" s="199" t="s">
        <v>2248</v>
      </c>
      <c r="C378" s="207" t="s">
        <v>273</v>
      </c>
      <c r="D378" s="200">
        <v>47.612000000000002</v>
      </c>
      <c r="E378" s="210"/>
      <c r="F378" s="200"/>
      <c r="G378" s="210"/>
      <c r="H378" s="200"/>
      <c r="I378" s="210"/>
      <c r="J378" s="212" t="s">
        <v>2185</v>
      </c>
    </row>
    <row r="379" spans="1:10" x14ac:dyDescent="0.3">
      <c r="A379" s="223" t="s">
        <v>892</v>
      </c>
      <c r="B379" s="199" t="s">
        <v>893</v>
      </c>
      <c r="C379" s="198" t="s">
        <v>198</v>
      </c>
      <c r="D379" s="200">
        <v>4.1849999999999996</v>
      </c>
      <c r="E379" s="201"/>
      <c r="F379" s="202"/>
      <c r="G379" s="201"/>
      <c r="H379" s="202"/>
      <c r="I379" s="203"/>
      <c r="J379" s="204"/>
    </row>
    <row r="380" spans="1:10" x14ac:dyDescent="0.3">
      <c r="A380" s="223" t="s">
        <v>894</v>
      </c>
      <c r="B380" s="199" t="s">
        <v>895</v>
      </c>
      <c r="C380" s="198" t="s">
        <v>199</v>
      </c>
      <c r="D380" s="200">
        <v>1.06</v>
      </c>
      <c r="E380" s="201"/>
      <c r="F380" s="202"/>
      <c r="G380" s="201"/>
      <c r="H380" s="202"/>
      <c r="I380" s="203"/>
      <c r="J380" s="204"/>
    </row>
    <row r="381" spans="1:10" x14ac:dyDescent="0.3">
      <c r="A381" s="223" t="s">
        <v>896</v>
      </c>
      <c r="B381" s="199" t="s">
        <v>897</v>
      </c>
      <c r="C381" s="207" t="s">
        <v>198</v>
      </c>
      <c r="D381" s="200">
        <v>16.954000000000001</v>
      </c>
      <c r="E381" s="201"/>
      <c r="F381" s="202"/>
      <c r="G381" s="201"/>
      <c r="H381" s="202"/>
      <c r="I381" s="203"/>
      <c r="J381" s="211"/>
    </row>
    <row r="382" spans="1:10" x14ac:dyDescent="0.3">
      <c r="A382" s="223" t="s">
        <v>898</v>
      </c>
      <c r="B382" s="199" t="s">
        <v>899</v>
      </c>
      <c r="C382" s="198" t="s">
        <v>670</v>
      </c>
      <c r="D382" s="200">
        <v>374.54899999999998</v>
      </c>
      <c r="E382" s="201"/>
      <c r="F382" s="202"/>
      <c r="G382" s="201"/>
      <c r="H382" s="202"/>
      <c r="I382" s="203"/>
      <c r="J382" s="204"/>
    </row>
    <row r="383" spans="1:10" x14ac:dyDescent="0.3">
      <c r="A383" s="223" t="s">
        <v>900</v>
      </c>
      <c r="B383" s="199" t="s">
        <v>901</v>
      </c>
      <c r="C383" s="198" t="s">
        <v>198</v>
      </c>
      <c r="D383" s="200">
        <v>155.00200000000001</v>
      </c>
      <c r="E383" s="201"/>
      <c r="F383" s="202"/>
      <c r="G383" s="201"/>
      <c r="H383" s="202"/>
      <c r="I383" s="203"/>
      <c r="J383" s="204"/>
    </row>
    <row r="384" spans="1:10" x14ac:dyDescent="0.3">
      <c r="A384" s="223" t="s">
        <v>902</v>
      </c>
      <c r="B384" s="199" t="s">
        <v>903</v>
      </c>
      <c r="C384" s="198" t="s">
        <v>198</v>
      </c>
      <c r="D384" s="200">
        <v>12.249000000000001</v>
      </c>
      <c r="E384" s="201"/>
      <c r="F384" s="202"/>
      <c r="G384" s="201"/>
      <c r="H384" s="202"/>
      <c r="I384" s="203"/>
      <c r="J384" s="204"/>
    </row>
    <row r="385" spans="1:10" x14ac:dyDescent="0.3">
      <c r="A385" s="223" t="s">
        <v>904</v>
      </c>
      <c r="B385" s="199" t="s">
        <v>905</v>
      </c>
      <c r="C385" s="198" t="s">
        <v>200</v>
      </c>
      <c r="D385" s="200">
        <v>8.5489999999999995</v>
      </c>
      <c r="E385" s="201"/>
      <c r="F385" s="202"/>
      <c r="G385" s="201"/>
      <c r="H385" s="202"/>
      <c r="I385" s="203"/>
      <c r="J385" s="204"/>
    </row>
    <row r="386" spans="1:10" x14ac:dyDescent="0.3">
      <c r="A386" s="223" t="s">
        <v>906</v>
      </c>
      <c r="B386" s="199" t="s">
        <v>907</v>
      </c>
      <c r="C386" s="198" t="s">
        <v>284</v>
      </c>
      <c r="D386" s="200">
        <v>2.8559999999999999</v>
      </c>
      <c r="E386" s="201"/>
      <c r="F386" s="202"/>
      <c r="G386" s="201"/>
      <c r="H386" s="202"/>
      <c r="I386" s="203"/>
      <c r="J386" s="204"/>
    </row>
    <row r="387" spans="1:10" x14ac:dyDescent="0.3">
      <c r="A387" s="224" t="s">
        <v>2249</v>
      </c>
      <c r="B387" s="199" t="s">
        <v>2250</v>
      </c>
      <c r="C387" s="207" t="s">
        <v>284</v>
      </c>
      <c r="D387" s="200">
        <v>6.399</v>
      </c>
      <c r="E387" s="210"/>
      <c r="F387" s="200"/>
      <c r="G387" s="210"/>
      <c r="H387" s="200"/>
      <c r="I387" s="210"/>
      <c r="J387" s="212" t="s">
        <v>2185</v>
      </c>
    </row>
    <row r="388" spans="1:10" x14ac:dyDescent="0.3">
      <c r="A388" s="224" t="s">
        <v>2251</v>
      </c>
      <c r="B388" s="199" t="s">
        <v>2252</v>
      </c>
      <c r="C388" s="207" t="s">
        <v>284</v>
      </c>
      <c r="D388" s="200">
        <v>6.4909999999999997</v>
      </c>
      <c r="E388" s="210"/>
      <c r="F388" s="200"/>
      <c r="G388" s="210"/>
      <c r="H388" s="200"/>
      <c r="I388" s="210"/>
      <c r="J388" s="212" t="s">
        <v>2185</v>
      </c>
    </row>
    <row r="389" spans="1:10" x14ac:dyDescent="0.3">
      <c r="A389" s="224" t="s">
        <v>908</v>
      </c>
      <c r="B389" s="199" t="s">
        <v>909</v>
      </c>
      <c r="C389" s="207" t="s">
        <v>198</v>
      </c>
      <c r="D389" s="200">
        <v>21.695</v>
      </c>
      <c r="E389" s="210"/>
      <c r="F389" s="200"/>
      <c r="G389" s="210"/>
      <c r="H389" s="200"/>
      <c r="I389" s="210"/>
      <c r="J389" s="204"/>
    </row>
    <row r="390" spans="1:10" x14ac:dyDescent="0.3">
      <c r="A390" s="223" t="s">
        <v>910</v>
      </c>
      <c r="B390" s="199" t="s">
        <v>911</v>
      </c>
      <c r="C390" s="198" t="s">
        <v>360</v>
      </c>
      <c r="D390" s="200">
        <v>357.52800000000002</v>
      </c>
      <c r="E390" s="201"/>
      <c r="F390" s="202"/>
      <c r="G390" s="201"/>
      <c r="H390" s="202"/>
      <c r="I390" s="203"/>
      <c r="J390" s="204"/>
    </row>
    <row r="391" spans="1:10" x14ac:dyDescent="0.3">
      <c r="A391" s="223" t="s">
        <v>912</v>
      </c>
      <c r="B391" s="199" t="s">
        <v>913</v>
      </c>
      <c r="C391" s="198" t="s">
        <v>273</v>
      </c>
      <c r="D391" s="200">
        <v>11.301</v>
      </c>
      <c r="E391" s="201"/>
      <c r="F391" s="202"/>
      <c r="G391" s="201"/>
      <c r="H391" s="202"/>
      <c r="I391" s="203"/>
      <c r="J391" s="204"/>
    </row>
    <row r="392" spans="1:10" x14ac:dyDescent="0.3">
      <c r="A392" s="223" t="s">
        <v>914</v>
      </c>
      <c r="B392" s="199" t="s">
        <v>915</v>
      </c>
      <c r="C392" s="198" t="s">
        <v>553</v>
      </c>
      <c r="D392" s="200">
        <v>10.676</v>
      </c>
      <c r="E392" s="201"/>
      <c r="F392" s="202"/>
      <c r="G392" s="201"/>
      <c r="H392" s="202"/>
      <c r="I392" s="203"/>
      <c r="J392" s="204"/>
    </row>
    <row r="393" spans="1:10" x14ac:dyDescent="0.3">
      <c r="A393" s="223" t="s">
        <v>916</v>
      </c>
      <c r="B393" s="199" t="s">
        <v>917</v>
      </c>
      <c r="C393" s="198" t="s">
        <v>257</v>
      </c>
      <c r="D393" s="200">
        <v>2.8039999999999998</v>
      </c>
      <c r="E393" s="201"/>
      <c r="F393" s="202"/>
      <c r="G393" s="201"/>
      <c r="H393" s="202"/>
      <c r="I393" s="203"/>
      <c r="J393" s="204"/>
    </row>
    <row r="394" spans="1:10" x14ac:dyDescent="0.3">
      <c r="A394" s="223" t="s">
        <v>918</v>
      </c>
      <c r="B394" s="199" t="s">
        <v>919</v>
      </c>
      <c r="C394" s="198" t="s">
        <v>257</v>
      </c>
      <c r="D394" s="200">
        <v>12.699</v>
      </c>
      <c r="E394" s="201"/>
      <c r="F394" s="202"/>
      <c r="G394" s="201"/>
      <c r="H394" s="202"/>
      <c r="I394" s="203"/>
      <c r="J394" s="204"/>
    </row>
    <row r="395" spans="1:10" x14ac:dyDescent="0.3">
      <c r="A395" s="223" t="s">
        <v>920</v>
      </c>
      <c r="B395" s="199" t="s">
        <v>921</v>
      </c>
      <c r="C395" s="198" t="s">
        <v>922</v>
      </c>
      <c r="D395" s="200">
        <v>2.0529999999999999</v>
      </c>
      <c r="E395" s="201"/>
      <c r="F395" s="202"/>
      <c r="G395" s="201"/>
      <c r="H395" s="202"/>
      <c r="I395" s="203"/>
      <c r="J395" s="204"/>
    </row>
    <row r="396" spans="1:10" x14ac:dyDescent="0.3">
      <c r="A396" s="223" t="s">
        <v>923</v>
      </c>
      <c r="B396" s="199" t="s">
        <v>924</v>
      </c>
      <c r="C396" s="198" t="s">
        <v>198</v>
      </c>
      <c r="D396" s="200">
        <v>3.19</v>
      </c>
      <c r="E396" s="201"/>
      <c r="F396" s="202"/>
      <c r="G396" s="201"/>
      <c r="H396" s="202"/>
      <c r="I396" s="203"/>
      <c r="J396" s="204"/>
    </row>
    <row r="397" spans="1:10" x14ac:dyDescent="0.3">
      <c r="A397" s="223" t="s">
        <v>925</v>
      </c>
      <c r="B397" s="199" t="s">
        <v>926</v>
      </c>
      <c r="C397" s="198" t="s">
        <v>199</v>
      </c>
      <c r="D397" s="200">
        <v>1.1519999999999999</v>
      </c>
      <c r="E397" s="201"/>
      <c r="F397" s="202"/>
      <c r="G397" s="201"/>
      <c r="H397" s="202"/>
      <c r="I397" s="203"/>
      <c r="J397" s="204"/>
    </row>
    <row r="398" spans="1:10" x14ac:dyDescent="0.3">
      <c r="A398" s="224" t="s">
        <v>927</v>
      </c>
      <c r="B398" s="199" t="s">
        <v>928</v>
      </c>
      <c r="C398" s="207" t="s">
        <v>354</v>
      </c>
      <c r="D398" s="200">
        <v>0.48499999999999999</v>
      </c>
      <c r="E398" s="210"/>
      <c r="F398" s="200"/>
      <c r="G398" s="210"/>
      <c r="H398" s="200"/>
      <c r="I398" s="210"/>
      <c r="J398" s="204"/>
    </row>
    <row r="399" spans="1:10" x14ac:dyDescent="0.3">
      <c r="A399" s="223" t="s">
        <v>929</v>
      </c>
      <c r="B399" s="199" t="s">
        <v>930</v>
      </c>
      <c r="C399" s="198" t="s">
        <v>931</v>
      </c>
      <c r="D399" s="200">
        <v>0.35899999999999999</v>
      </c>
      <c r="E399" s="201"/>
      <c r="F399" s="202"/>
      <c r="G399" s="201"/>
      <c r="H399" s="202"/>
      <c r="I399" s="203"/>
      <c r="J399" s="204"/>
    </row>
    <row r="400" spans="1:10" x14ac:dyDescent="0.3">
      <c r="A400" s="223" t="s">
        <v>932</v>
      </c>
      <c r="B400" s="199" t="s">
        <v>933</v>
      </c>
      <c r="C400" s="198" t="s">
        <v>284</v>
      </c>
      <c r="D400" s="200">
        <v>0.66100000000000003</v>
      </c>
      <c r="E400" s="201"/>
      <c r="F400" s="202"/>
      <c r="G400" s="201"/>
      <c r="H400" s="202"/>
      <c r="I400" s="203"/>
      <c r="J400" s="204"/>
    </row>
    <row r="401" spans="1:10" x14ac:dyDescent="0.3">
      <c r="A401" s="223" t="s">
        <v>934</v>
      </c>
      <c r="B401" s="199" t="s">
        <v>935</v>
      </c>
      <c r="C401" s="198" t="s">
        <v>936</v>
      </c>
      <c r="D401" s="200">
        <v>0.14000000000000001</v>
      </c>
      <c r="E401" s="201"/>
      <c r="F401" s="202"/>
      <c r="G401" s="201"/>
      <c r="H401" s="202"/>
      <c r="I401" s="203"/>
      <c r="J401" s="204"/>
    </row>
    <row r="402" spans="1:10" x14ac:dyDescent="0.3">
      <c r="A402" s="223" t="s">
        <v>937</v>
      </c>
      <c r="B402" s="199" t="s">
        <v>938</v>
      </c>
      <c r="C402" s="198" t="s">
        <v>199</v>
      </c>
      <c r="D402" s="200">
        <v>1.5109999999999999</v>
      </c>
      <c r="E402" s="201"/>
      <c r="F402" s="202"/>
      <c r="G402" s="201"/>
      <c r="H402" s="202"/>
      <c r="I402" s="203"/>
      <c r="J402" s="204"/>
    </row>
    <row r="403" spans="1:10" x14ac:dyDescent="0.3">
      <c r="A403" s="223" t="s">
        <v>939</v>
      </c>
      <c r="B403" s="199" t="s">
        <v>940</v>
      </c>
      <c r="C403" s="198" t="s">
        <v>199</v>
      </c>
      <c r="D403" s="200">
        <v>10.156000000000001</v>
      </c>
      <c r="E403" s="201"/>
      <c r="F403" s="202"/>
      <c r="G403" s="201"/>
      <c r="H403" s="202"/>
      <c r="I403" s="203"/>
      <c r="J403" s="204"/>
    </row>
    <row r="404" spans="1:10" x14ac:dyDescent="0.3">
      <c r="A404" s="223" t="s">
        <v>941</v>
      </c>
      <c r="B404" s="199" t="s">
        <v>942</v>
      </c>
      <c r="C404" s="198" t="s">
        <v>198</v>
      </c>
      <c r="D404" s="200">
        <v>11.141</v>
      </c>
      <c r="E404" s="201"/>
      <c r="F404" s="202"/>
      <c r="G404" s="201"/>
      <c r="H404" s="202"/>
      <c r="I404" s="203"/>
      <c r="J404" s="204"/>
    </row>
    <row r="405" spans="1:10" x14ac:dyDescent="0.3">
      <c r="A405" s="223" t="s">
        <v>943</v>
      </c>
      <c r="B405" s="199" t="s">
        <v>944</v>
      </c>
      <c r="C405" s="198" t="s">
        <v>945</v>
      </c>
      <c r="D405" s="200">
        <v>2.64</v>
      </c>
      <c r="E405" s="201"/>
      <c r="F405" s="202"/>
      <c r="G405" s="201"/>
      <c r="H405" s="202"/>
      <c r="I405" s="203"/>
      <c r="J405" s="204"/>
    </row>
    <row r="406" spans="1:10" x14ac:dyDescent="0.3">
      <c r="A406" s="223" t="s">
        <v>946</v>
      </c>
      <c r="B406" s="199" t="s">
        <v>944</v>
      </c>
      <c r="C406" s="198" t="s">
        <v>947</v>
      </c>
      <c r="D406" s="200">
        <v>1.32</v>
      </c>
      <c r="E406" s="201"/>
      <c r="F406" s="202"/>
      <c r="G406" s="201"/>
      <c r="H406" s="202"/>
      <c r="I406" s="203"/>
      <c r="J406" s="204"/>
    </row>
    <row r="407" spans="1:10" x14ac:dyDescent="0.3">
      <c r="A407" s="223" t="s">
        <v>948</v>
      </c>
      <c r="B407" s="199" t="s">
        <v>949</v>
      </c>
      <c r="C407" s="198" t="s">
        <v>947</v>
      </c>
      <c r="D407" s="200">
        <v>1.0589999999999999</v>
      </c>
      <c r="E407" s="201"/>
      <c r="F407" s="202"/>
      <c r="G407" s="201"/>
      <c r="H407" s="202"/>
      <c r="I407" s="203"/>
      <c r="J407" s="204" t="s">
        <v>2244</v>
      </c>
    </row>
    <row r="408" spans="1:10" x14ac:dyDescent="0.3">
      <c r="A408" s="223" t="s">
        <v>950</v>
      </c>
      <c r="B408" s="199" t="s">
        <v>944</v>
      </c>
      <c r="C408" s="198" t="s">
        <v>951</v>
      </c>
      <c r="D408" s="200">
        <v>0.66</v>
      </c>
      <c r="E408" s="201"/>
      <c r="F408" s="202"/>
      <c r="G408" s="201"/>
      <c r="H408" s="202"/>
      <c r="I408" s="203"/>
      <c r="J408" s="204"/>
    </row>
    <row r="409" spans="1:10" x14ac:dyDescent="0.3">
      <c r="A409" s="223" t="s">
        <v>952</v>
      </c>
      <c r="B409" s="199" t="s">
        <v>953</v>
      </c>
      <c r="C409" s="198" t="s">
        <v>947</v>
      </c>
      <c r="D409" s="200">
        <v>1.748</v>
      </c>
      <c r="E409" s="201"/>
      <c r="F409" s="202"/>
      <c r="G409" s="201"/>
      <c r="H409" s="202"/>
      <c r="I409" s="203"/>
      <c r="J409" s="204"/>
    </row>
    <row r="410" spans="1:10" x14ac:dyDescent="0.3">
      <c r="A410" s="223" t="s">
        <v>954</v>
      </c>
      <c r="B410" s="199" t="s">
        <v>955</v>
      </c>
      <c r="C410" s="198" t="s">
        <v>956</v>
      </c>
      <c r="D410" s="200">
        <v>3.496</v>
      </c>
      <c r="E410" s="201"/>
      <c r="F410" s="202"/>
      <c r="G410" s="201"/>
      <c r="H410" s="202"/>
      <c r="I410" s="203"/>
      <c r="J410" s="204"/>
    </row>
    <row r="411" spans="1:10" x14ac:dyDescent="0.3">
      <c r="A411" s="223" t="s">
        <v>957</v>
      </c>
      <c r="B411" s="199" t="s">
        <v>958</v>
      </c>
      <c r="C411" s="198" t="s">
        <v>956</v>
      </c>
      <c r="D411" s="200">
        <v>2.5</v>
      </c>
      <c r="E411" s="201"/>
      <c r="F411" s="202"/>
      <c r="G411" s="201"/>
      <c r="H411" s="202"/>
      <c r="I411" s="203"/>
      <c r="J411" s="204"/>
    </row>
    <row r="412" spans="1:10" x14ac:dyDescent="0.3">
      <c r="A412" s="223" t="s">
        <v>959</v>
      </c>
      <c r="B412" s="199" t="s">
        <v>960</v>
      </c>
      <c r="C412" s="198" t="s">
        <v>396</v>
      </c>
      <c r="D412" s="200">
        <v>49.945</v>
      </c>
      <c r="E412" s="201"/>
      <c r="F412" s="202"/>
      <c r="G412" s="201"/>
      <c r="H412" s="202"/>
      <c r="I412" s="203">
        <v>1</v>
      </c>
      <c r="J412" s="211"/>
    </row>
    <row r="413" spans="1:10" x14ac:dyDescent="0.3">
      <c r="A413" s="223" t="s">
        <v>961</v>
      </c>
      <c r="B413" s="199" t="s">
        <v>962</v>
      </c>
      <c r="C413" s="198" t="s">
        <v>963</v>
      </c>
      <c r="D413" s="200">
        <v>8.6129999999999995</v>
      </c>
      <c r="E413" s="201"/>
      <c r="F413" s="202"/>
      <c r="G413" s="201"/>
      <c r="H413" s="202"/>
      <c r="I413" s="203">
        <v>1</v>
      </c>
      <c r="J413" s="204"/>
    </row>
    <row r="414" spans="1:10" x14ac:dyDescent="0.3">
      <c r="A414" s="223" t="s">
        <v>1579</v>
      </c>
      <c r="B414" s="199" t="s">
        <v>1580</v>
      </c>
      <c r="C414" s="198" t="s">
        <v>198</v>
      </c>
      <c r="D414" s="200">
        <v>1.405</v>
      </c>
      <c r="E414" s="201"/>
      <c r="F414" s="202"/>
      <c r="G414" s="201"/>
      <c r="H414" s="202"/>
      <c r="I414" s="203">
        <v>1</v>
      </c>
      <c r="J414" s="204"/>
    </row>
    <row r="415" spans="1:10" x14ac:dyDescent="0.3">
      <c r="A415" s="223" t="s">
        <v>964</v>
      </c>
      <c r="B415" s="199" t="s">
        <v>965</v>
      </c>
      <c r="C415" s="198" t="s">
        <v>963</v>
      </c>
      <c r="D415" s="200">
        <v>1.3520000000000001</v>
      </c>
      <c r="E415" s="201"/>
      <c r="F415" s="202"/>
      <c r="G415" s="201"/>
      <c r="H415" s="202"/>
      <c r="I415" s="203">
        <v>1</v>
      </c>
      <c r="J415" s="204"/>
    </row>
    <row r="416" spans="1:10" x14ac:dyDescent="0.3">
      <c r="A416" s="223" t="s">
        <v>966</v>
      </c>
      <c r="B416" s="199" t="s">
        <v>967</v>
      </c>
      <c r="C416" s="198" t="s">
        <v>963</v>
      </c>
      <c r="D416" s="200">
        <v>1.8009999999999999</v>
      </c>
      <c r="E416" s="201"/>
      <c r="F416" s="202"/>
      <c r="G416" s="201"/>
      <c r="H416" s="202"/>
      <c r="I416" s="203">
        <v>1</v>
      </c>
      <c r="J416" s="204"/>
    </row>
    <row r="417" spans="1:10" x14ac:dyDescent="0.3">
      <c r="A417" s="223" t="s">
        <v>968</v>
      </c>
      <c r="B417" s="199" t="s">
        <v>969</v>
      </c>
      <c r="C417" s="198" t="s">
        <v>963</v>
      </c>
      <c r="D417" s="200">
        <v>9.4149999999999991</v>
      </c>
      <c r="E417" s="202"/>
      <c r="F417" s="201"/>
      <c r="G417" s="202"/>
      <c r="H417" s="202"/>
      <c r="I417" s="203">
        <v>1</v>
      </c>
      <c r="J417" s="204"/>
    </row>
    <row r="418" spans="1:10" x14ac:dyDescent="0.3">
      <c r="A418" s="223" t="s">
        <v>970</v>
      </c>
      <c r="B418" s="199" t="s">
        <v>971</v>
      </c>
      <c r="C418" s="198" t="s">
        <v>963</v>
      </c>
      <c r="D418" s="200">
        <v>15.99</v>
      </c>
      <c r="E418" s="201"/>
      <c r="F418" s="202"/>
      <c r="G418" s="201"/>
      <c r="H418" s="202"/>
      <c r="I418" s="203">
        <v>1</v>
      </c>
      <c r="J418" s="203"/>
    </row>
    <row r="419" spans="1:10" x14ac:dyDescent="0.3">
      <c r="A419" s="224" t="s">
        <v>972</v>
      </c>
      <c r="B419" s="199" t="s">
        <v>973</v>
      </c>
      <c r="C419" s="198" t="s">
        <v>963</v>
      </c>
      <c r="D419" s="200">
        <v>1.0840000000000001</v>
      </c>
      <c r="E419" s="210"/>
      <c r="F419" s="200"/>
      <c r="G419" s="210"/>
      <c r="H419" s="200"/>
      <c r="I419" s="210">
        <v>1</v>
      </c>
      <c r="J419" s="204"/>
    </row>
    <row r="420" spans="1:10" x14ac:dyDescent="0.3">
      <c r="A420" s="223" t="s">
        <v>974</v>
      </c>
      <c r="B420" s="199" t="s">
        <v>975</v>
      </c>
      <c r="C420" s="198" t="s">
        <v>976</v>
      </c>
      <c r="D420" s="200">
        <v>1.1950000000000001</v>
      </c>
      <c r="E420" s="201"/>
      <c r="F420" s="202"/>
      <c r="G420" s="201"/>
      <c r="H420" s="202"/>
      <c r="I420" s="203">
        <v>1</v>
      </c>
      <c r="J420" s="204"/>
    </row>
    <row r="421" spans="1:10" x14ac:dyDescent="0.3">
      <c r="A421" s="223" t="s">
        <v>977</v>
      </c>
      <c r="B421" s="199" t="s">
        <v>978</v>
      </c>
      <c r="C421" s="198" t="s">
        <v>963</v>
      </c>
      <c r="D421" s="200">
        <v>1.3360000000000001</v>
      </c>
      <c r="E421" s="201"/>
      <c r="F421" s="202"/>
      <c r="G421" s="201"/>
      <c r="H421" s="202"/>
      <c r="I421" s="203">
        <v>1</v>
      </c>
      <c r="J421" s="204"/>
    </row>
    <row r="422" spans="1:10" x14ac:dyDescent="0.3">
      <c r="A422" s="223" t="s">
        <v>979</v>
      </c>
      <c r="B422" s="199" t="s">
        <v>980</v>
      </c>
      <c r="C422" s="206" t="s">
        <v>981</v>
      </c>
      <c r="D422" s="200">
        <v>1.163</v>
      </c>
      <c r="E422" s="201"/>
      <c r="F422" s="202"/>
      <c r="G422" s="201"/>
      <c r="H422" s="202"/>
      <c r="I422" s="203">
        <v>1</v>
      </c>
      <c r="J422" s="204"/>
    </row>
    <row r="423" spans="1:10" x14ac:dyDescent="0.3">
      <c r="A423" s="223" t="s">
        <v>982</v>
      </c>
      <c r="B423" s="199" t="s">
        <v>983</v>
      </c>
      <c r="C423" s="217" t="s">
        <v>963</v>
      </c>
      <c r="D423" s="200">
        <v>1.3080000000000001</v>
      </c>
      <c r="E423" s="201"/>
      <c r="F423" s="202"/>
      <c r="G423" s="201"/>
      <c r="H423" s="202"/>
      <c r="I423" s="203">
        <v>1</v>
      </c>
      <c r="J423" s="204"/>
    </row>
    <row r="424" spans="1:10" x14ac:dyDescent="0.3">
      <c r="A424" s="223" t="s">
        <v>984</v>
      </c>
      <c r="B424" s="199" t="s">
        <v>985</v>
      </c>
      <c r="C424" s="198" t="s">
        <v>963</v>
      </c>
      <c r="D424" s="200">
        <v>3.2080000000000002</v>
      </c>
      <c r="E424" s="201"/>
      <c r="F424" s="202"/>
      <c r="G424" s="201"/>
      <c r="H424" s="202"/>
      <c r="I424" s="203">
        <v>1</v>
      </c>
      <c r="J424" s="203"/>
    </row>
    <row r="425" spans="1:10" x14ac:dyDescent="0.3">
      <c r="A425" s="223" t="s">
        <v>986</v>
      </c>
      <c r="B425" s="199" t="s">
        <v>1983</v>
      </c>
      <c r="C425" s="206" t="s">
        <v>452</v>
      </c>
      <c r="D425" s="200">
        <v>2.351</v>
      </c>
      <c r="E425" s="201"/>
      <c r="F425" s="202"/>
      <c r="G425" s="201"/>
      <c r="H425" s="202"/>
      <c r="I425" s="203">
        <v>1</v>
      </c>
      <c r="J425" s="204"/>
    </row>
    <row r="426" spans="1:10" x14ac:dyDescent="0.3">
      <c r="A426" s="223" t="s">
        <v>988</v>
      </c>
      <c r="B426" s="199" t="s">
        <v>989</v>
      </c>
      <c r="C426" s="198" t="s">
        <v>963</v>
      </c>
      <c r="D426" s="200">
        <v>1.1040000000000001</v>
      </c>
      <c r="E426" s="201"/>
      <c r="F426" s="202"/>
      <c r="G426" s="201"/>
      <c r="H426" s="202"/>
      <c r="I426" s="203">
        <v>1</v>
      </c>
      <c r="J426" s="204"/>
    </row>
    <row r="427" spans="1:10" x14ac:dyDescent="0.3">
      <c r="A427" s="223" t="s">
        <v>990</v>
      </c>
      <c r="B427" s="199" t="s">
        <v>991</v>
      </c>
      <c r="C427" s="198" t="s">
        <v>963</v>
      </c>
      <c r="D427" s="200">
        <v>1.44</v>
      </c>
      <c r="E427" s="201"/>
      <c r="F427" s="202"/>
      <c r="G427" s="201"/>
      <c r="H427" s="202"/>
      <c r="I427" s="203">
        <v>1</v>
      </c>
      <c r="J427" s="204"/>
    </row>
    <row r="428" spans="1:10" x14ac:dyDescent="0.3">
      <c r="A428" s="223" t="s">
        <v>992</v>
      </c>
      <c r="B428" s="199" t="s">
        <v>993</v>
      </c>
      <c r="C428" s="198" t="s">
        <v>963</v>
      </c>
      <c r="D428" s="200">
        <v>1.232</v>
      </c>
      <c r="E428" s="201"/>
      <c r="F428" s="202"/>
      <c r="G428" s="201"/>
      <c r="H428" s="202"/>
      <c r="I428" s="203">
        <v>1</v>
      </c>
      <c r="J428" s="204"/>
    </row>
    <row r="429" spans="1:10" x14ac:dyDescent="0.3">
      <c r="A429" s="223" t="s">
        <v>994</v>
      </c>
      <c r="B429" s="199" t="s">
        <v>995</v>
      </c>
      <c r="C429" s="198" t="s">
        <v>963</v>
      </c>
      <c r="D429" s="200">
        <v>1.58</v>
      </c>
      <c r="E429" s="201"/>
      <c r="F429" s="202"/>
      <c r="G429" s="201"/>
      <c r="H429" s="202"/>
      <c r="I429" s="203">
        <v>1</v>
      </c>
      <c r="J429" s="204"/>
    </row>
    <row r="430" spans="1:10" x14ac:dyDescent="0.3">
      <c r="A430" s="223" t="s">
        <v>996</v>
      </c>
      <c r="B430" s="199" t="s">
        <v>997</v>
      </c>
      <c r="C430" s="198" t="s">
        <v>963</v>
      </c>
      <c r="D430" s="200">
        <v>1.6459999999999999</v>
      </c>
      <c r="E430" s="201"/>
      <c r="F430" s="202"/>
      <c r="G430" s="201"/>
      <c r="H430" s="202"/>
      <c r="I430" s="203">
        <v>1</v>
      </c>
      <c r="J430" s="204"/>
    </row>
    <row r="431" spans="1:10" x14ac:dyDescent="0.3">
      <c r="A431" s="223" t="s">
        <v>998</v>
      </c>
      <c r="B431" s="199" t="s">
        <v>999</v>
      </c>
      <c r="C431" s="198" t="s">
        <v>963</v>
      </c>
      <c r="D431" s="200">
        <v>3.17</v>
      </c>
      <c r="E431" s="201"/>
      <c r="F431" s="202"/>
      <c r="G431" s="201"/>
      <c r="H431" s="202"/>
      <c r="I431" s="203"/>
      <c r="J431" s="204"/>
    </row>
    <row r="432" spans="1:10" x14ac:dyDescent="0.3">
      <c r="A432" s="223" t="s">
        <v>1000</v>
      </c>
      <c r="B432" s="199" t="s">
        <v>1001</v>
      </c>
      <c r="C432" s="198" t="s">
        <v>963</v>
      </c>
      <c r="D432" s="200">
        <v>2.254</v>
      </c>
      <c r="E432" s="201"/>
      <c r="F432" s="202"/>
      <c r="G432" s="201"/>
      <c r="H432" s="202"/>
      <c r="I432" s="203">
        <v>1</v>
      </c>
      <c r="J432" s="204"/>
    </row>
    <row r="433" spans="1:10" x14ac:dyDescent="0.3">
      <c r="A433" s="223" t="s">
        <v>1002</v>
      </c>
      <c r="B433" s="199" t="s">
        <v>1003</v>
      </c>
      <c r="C433" s="198" t="s">
        <v>963</v>
      </c>
      <c r="D433" s="200">
        <v>1.633</v>
      </c>
      <c r="E433" s="201"/>
      <c r="F433" s="202"/>
      <c r="G433" s="201"/>
      <c r="H433" s="202"/>
      <c r="I433" s="203">
        <v>1</v>
      </c>
      <c r="J433" s="204"/>
    </row>
    <row r="434" spans="1:10" x14ac:dyDescent="0.3">
      <c r="A434" s="223" t="s">
        <v>1004</v>
      </c>
      <c r="B434" s="199" t="s">
        <v>1005</v>
      </c>
      <c r="C434" s="198" t="s">
        <v>963</v>
      </c>
      <c r="D434" s="200">
        <v>3.371</v>
      </c>
      <c r="E434" s="201"/>
      <c r="F434" s="202"/>
      <c r="G434" s="201"/>
      <c r="H434" s="202"/>
      <c r="I434" s="203">
        <v>1</v>
      </c>
      <c r="J434" s="204"/>
    </row>
    <row r="435" spans="1:10" x14ac:dyDescent="0.3">
      <c r="A435" s="223" t="s">
        <v>1006</v>
      </c>
      <c r="B435" s="199" t="s">
        <v>1007</v>
      </c>
      <c r="C435" s="198" t="s">
        <v>963</v>
      </c>
      <c r="D435" s="200">
        <v>4.7709999999999999</v>
      </c>
      <c r="E435" s="201"/>
      <c r="F435" s="202"/>
      <c r="G435" s="201"/>
      <c r="H435" s="202"/>
      <c r="I435" s="203">
        <v>1</v>
      </c>
      <c r="J435" s="204"/>
    </row>
    <row r="436" spans="1:10" x14ac:dyDescent="0.3">
      <c r="A436" s="223" t="s">
        <v>1581</v>
      </c>
      <c r="B436" s="199" t="s">
        <v>1582</v>
      </c>
      <c r="C436" s="198" t="s">
        <v>198</v>
      </c>
      <c r="D436" s="200">
        <v>4.1379999999999999</v>
      </c>
      <c r="E436" s="201"/>
      <c r="F436" s="202"/>
      <c r="G436" s="201"/>
      <c r="H436" s="202"/>
      <c r="I436" s="203">
        <v>1</v>
      </c>
      <c r="J436" s="204"/>
    </row>
    <row r="437" spans="1:10" x14ac:dyDescent="0.3">
      <c r="A437" s="223" t="s">
        <v>1952</v>
      </c>
      <c r="B437" s="199" t="s">
        <v>1953</v>
      </c>
      <c r="C437" s="198" t="s">
        <v>963</v>
      </c>
      <c r="D437" s="200">
        <v>2.0419999999999998</v>
      </c>
      <c r="E437" s="201"/>
      <c r="F437" s="202"/>
      <c r="G437" s="201"/>
      <c r="H437" s="202"/>
      <c r="I437" s="203">
        <v>1</v>
      </c>
      <c r="J437" s="204"/>
    </row>
    <row r="438" spans="1:10" x14ac:dyDescent="0.3">
      <c r="A438" s="223" t="s">
        <v>1008</v>
      </c>
      <c r="B438" s="199" t="s">
        <v>1009</v>
      </c>
      <c r="C438" s="198" t="s">
        <v>963</v>
      </c>
      <c r="D438" s="200">
        <v>2.1389999999999998</v>
      </c>
      <c r="E438" s="201"/>
      <c r="F438" s="202"/>
      <c r="G438" s="201"/>
      <c r="H438" s="202"/>
      <c r="I438" s="203">
        <v>1</v>
      </c>
      <c r="J438" s="204"/>
    </row>
    <row r="439" spans="1:10" x14ac:dyDescent="0.3">
      <c r="A439" s="223" t="s">
        <v>1010</v>
      </c>
      <c r="B439" s="199" t="s">
        <v>1011</v>
      </c>
      <c r="C439" s="198" t="s">
        <v>963</v>
      </c>
      <c r="D439" s="200">
        <v>2.024</v>
      </c>
      <c r="E439" s="201"/>
      <c r="F439" s="202"/>
      <c r="G439" s="201"/>
      <c r="H439" s="202"/>
      <c r="I439" s="203">
        <v>1</v>
      </c>
      <c r="J439" s="204"/>
    </row>
    <row r="440" spans="1:10" x14ac:dyDescent="0.3">
      <c r="A440" s="223" t="s">
        <v>1012</v>
      </c>
      <c r="B440" s="199" t="s">
        <v>1583</v>
      </c>
      <c r="C440" s="198" t="s">
        <v>963</v>
      </c>
      <c r="D440" s="200">
        <v>2.173</v>
      </c>
      <c r="E440" s="201"/>
      <c r="F440" s="202"/>
      <c r="G440" s="201"/>
      <c r="H440" s="202"/>
      <c r="I440" s="203">
        <v>1</v>
      </c>
      <c r="J440" s="203"/>
    </row>
    <row r="441" spans="1:10" x14ac:dyDescent="0.3">
      <c r="A441" s="223" t="s">
        <v>1014</v>
      </c>
      <c r="B441" s="199" t="s">
        <v>1015</v>
      </c>
      <c r="C441" s="198" t="s">
        <v>963</v>
      </c>
      <c r="D441" s="200">
        <v>1.306</v>
      </c>
      <c r="E441" s="201"/>
      <c r="F441" s="202"/>
      <c r="G441" s="201"/>
      <c r="H441" s="202"/>
      <c r="I441" s="203">
        <v>1</v>
      </c>
      <c r="J441" s="204"/>
    </row>
    <row r="442" spans="1:10" x14ac:dyDescent="0.3">
      <c r="A442" s="223" t="s">
        <v>1016</v>
      </c>
      <c r="B442" s="199" t="s">
        <v>1584</v>
      </c>
      <c r="C442" s="198" t="s">
        <v>963</v>
      </c>
      <c r="D442" s="200">
        <v>1.4259999999999999</v>
      </c>
      <c r="E442" s="201"/>
      <c r="F442" s="202"/>
      <c r="G442" s="201"/>
      <c r="H442" s="202"/>
      <c r="I442" s="203">
        <v>1</v>
      </c>
      <c r="J442" s="203"/>
    </row>
    <row r="443" spans="1:10" x14ac:dyDescent="0.3">
      <c r="A443" s="223" t="s">
        <v>1018</v>
      </c>
      <c r="B443" s="199" t="s">
        <v>1019</v>
      </c>
      <c r="C443" s="198" t="s">
        <v>963</v>
      </c>
      <c r="D443" s="200">
        <v>1.343</v>
      </c>
      <c r="E443" s="201"/>
      <c r="F443" s="202"/>
      <c r="G443" s="201"/>
      <c r="H443" s="202"/>
      <c r="I443" s="203">
        <v>1</v>
      </c>
      <c r="J443" s="203"/>
    </row>
    <row r="444" spans="1:10" x14ac:dyDescent="0.3">
      <c r="A444" s="223" t="s">
        <v>1984</v>
      </c>
      <c r="B444" s="199" t="s">
        <v>1985</v>
      </c>
      <c r="C444" s="198" t="s">
        <v>452</v>
      </c>
      <c r="D444" s="200">
        <v>1.9359999999999999</v>
      </c>
      <c r="E444" s="201"/>
      <c r="F444" s="202"/>
      <c r="G444" s="201"/>
      <c r="H444" s="202"/>
      <c r="I444" s="203">
        <v>1</v>
      </c>
      <c r="J444" s="204"/>
    </row>
    <row r="445" spans="1:10" x14ac:dyDescent="0.3">
      <c r="A445" s="223" t="s">
        <v>1020</v>
      </c>
      <c r="B445" s="199" t="s">
        <v>1021</v>
      </c>
      <c r="C445" s="198" t="s">
        <v>1022</v>
      </c>
      <c r="D445" s="200">
        <v>390.601</v>
      </c>
      <c r="E445" s="201"/>
      <c r="F445" s="202"/>
      <c r="G445" s="201"/>
      <c r="H445" s="202"/>
      <c r="I445" s="203"/>
      <c r="J445" s="204"/>
    </row>
    <row r="446" spans="1:10" x14ac:dyDescent="0.3">
      <c r="A446" s="223" t="s">
        <v>1023</v>
      </c>
      <c r="B446" s="199" t="s">
        <v>1585</v>
      </c>
      <c r="C446" s="198" t="s">
        <v>318</v>
      </c>
      <c r="D446" s="200">
        <v>336.01799999999997</v>
      </c>
      <c r="E446" s="201"/>
      <c r="F446" s="202"/>
      <c r="G446" s="201"/>
      <c r="H446" s="202"/>
      <c r="I446" s="203"/>
      <c r="J446" s="204"/>
    </row>
    <row r="447" spans="1:10" x14ac:dyDescent="0.3">
      <c r="A447" s="223" t="s">
        <v>1026</v>
      </c>
      <c r="B447" s="199" t="s">
        <v>1027</v>
      </c>
      <c r="C447" s="198" t="s">
        <v>273</v>
      </c>
      <c r="D447" s="200">
        <v>199.97300000000001</v>
      </c>
      <c r="E447" s="201"/>
      <c r="F447" s="202"/>
      <c r="G447" s="201"/>
      <c r="H447" s="202"/>
      <c r="I447" s="203"/>
      <c r="J447" s="204"/>
    </row>
    <row r="448" spans="1:10" x14ac:dyDescent="0.3">
      <c r="A448" s="224" t="s">
        <v>1028</v>
      </c>
      <c r="B448" s="199" t="s">
        <v>1586</v>
      </c>
      <c r="C448" s="207" t="s">
        <v>318</v>
      </c>
      <c r="D448" s="200">
        <v>490.947</v>
      </c>
      <c r="E448" s="210"/>
      <c r="F448" s="200"/>
      <c r="G448" s="210"/>
      <c r="H448" s="200"/>
      <c r="I448" s="210"/>
      <c r="J448" s="204"/>
    </row>
    <row r="449" spans="1:10" x14ac:dyDescent="0.3">
      <c r="A449" s="223" t="s">
        <v>1625</v>
      </c>
      <c r="B449" s="199" t="s">
        <v>1626</v>
      </c>
      <c r="C449" s="198" t="s">
        <v>318</v>
      </c>
      <c r="D449" s="200">
        <v>523.53700000000003</v>
      </c>
      <c r="E449" s="201"/>
      <c r="F449" s="202"/>
      <c r="G449" s="201"/>
      <c r="H449" s="202"/>
      <c r="I449" s="203"/>
      <c r="J449" s="204"/>
    </row>
    <row r="450" spans="1:10" x14ac:dyDescent="0.3">
      <c r="A450" s="223" t="s">
        <v>2110</v>
      </c>
      <c r="B450" s="199" t="s">
        <v>2111</v>
      </c>
      <c r="C450" s="198" t="s">
        <v>198</v>
      </c>
      <c r="D450" s="200">
        <v>7.4539999999999997</v>
      </c>
      <c r="E450" s="201"/>
      <c r="F450" s="202"/>
      <c r="G450" s="201"/>
      <c r="H450" s="202"/>
      <c r="I450" s="203"/>
      <c r="J450" s="204"/>
    </row>
    <row r="451" spans="1:10" x14ac:dyDescent="0.3">
      <c r="A451" s="223" t="s">
        <v>2112</v>
      </c>
      <c r="B451" s="199" t="s">
        <v>2113</v>
      </c>
      <c r="C451" s="198" t="s">
        <v>198</v>
      </c>
      <c r="D451" s="200">
        <v>8.0850000000000009</v>
      </c>
      <c r="E451" s="201"/>
      <c r="F451" s="202"/>
      <c r="G451" s="201"/>
      <c r="H451" s="202"/>
      <c r="I451" s="203"/>
      <c r="J451" s="204"/>
    </row>
    <row r="452" spans="1:10" x14ac:dyDescent="0.3">
      <c r="A452" s="223" t="s">
        <v>1033</v>
      </c>
      <c r="B452" s="199" t="s">
        <v>1034</v>
      </c>
      <c r="C452" s="198" t="s">
        <v>1035</v>
      </c>
      <c r="D452" s="200">
        <v>78.683000000000007</v>
      </c>
      <c r="E452" s="201"/>
      <c r="F452" s="202"/>
      <c r="G452" s="201"/>
      <c r="H452" s="202"/>
      <c r="I452" s="203"/>
      <c r="J452" s="204"/>
    </row>
    <row r="453" spans="1:10" x14ac:dyDescent="0.3">
      <c r="A453" s="223" t="s">
        <v>2114</v>
      </c>
      <c r="B453" s="199" t="s">
        <v>2115</v>
      </c>
      <c r="C453" s="198" t="s">
        <v>198</v>
      </c>
      <c r="D453" s="200">
        <v>16.649000000000001</v>
      </c>
      <c r="E453" s="201"/>
      <c r="F453" s="202"/>
      <c r="G453" s="201"/>
      <c r="H453" s="202"/>
      <c r="I453" s="203"/>
      <c r="J453" s="204"/>
    </row>
    <row r="454" spans="1:10" x14ac:dyDescent="0.3">
      <c r="A454" s="223" t="s">
        <v>1036</v>
      </c>
      <c r="B454" s="199" t="s">
        <v>1037</v>
      </c>
      <c r="C454" s="198" t="s">
        <v>1035</v>
      </c>
      <c r="D454" s="200">
        <v>129.583</v>
      </c>
      <c r="E454" s="201"/>
      <c r="F454" s="202"/>
      <c r="G454" s="201"/>
      <c r="H454" s="202"/>
      <c r="I454" s="203"/>
      <c r="J454" s="204"/>
    </row>
    <row r="455" spans="1:10" x14ac:dyDescent="0.3">
      <c r="A455" s="223" t="s">
        <v>1587</v>
      </c>
      <c r="B455" s="199" t="s">
        <v>1588</v>
      </c>
      <c r="C455" s="198" t="s">
        <v>1589</v>
      </c>
      <c r="D455" s="200">
        <v>123.643</v>
      </c>
      <c r="E455" s="201"/>
      <c r="F455" s="202"/>
      <c r="G455" s="201"/>
      <c r="H455" s="202"/>
      <c r="I455" s="203"/>
      <c r="J455" s="203"/>
    </row>
    <row r="456" spans="1:10" x14ac:dyDescent="0.3">
      <c r="A456" s="223" t="s">
        <v>1038</v>
      </c>
      <c r="B456" s="199" t="s">
        <v>1039</v>
      </c>
      <c r="C456" s="198" t="s">
        <v>198</v>
      </c>
      <c r="D456" s="200">
        <v>9.7870000000000008</v>
      </c>
      <c r="E456" s="201"/>
      <c r="F456" s="202"/>
      <c r="G456" s="201"/>
      <c r="H456" s="202"/>
      <c r="I456" s="203"/>
      <c r="J456" s="204"/>
    </row>
    <row r="457" spans="1:10" x14ac:dyDescent="0.3">
      <c r="A457" s="223" t="s">
        <v>2116</v>
      </c>
      <c r="B457" s="199" t="s">
        <v>2117</v>
      </c>
      <c r="C457" s="198" t="s">
        <v>1035</v>
      </c>
      <c r="D457" s="200">
        <v>517.39400000000001</v>
      </c>
      <c r="E457" s="201"/>
      <c r="F457" s="202"/>
      <c r="G457" s="201"/>
      <c r="H457" s="202"/>
      <c r="I457" s="203"/>
      <c r="J457" s="204"/>
    </row>
    <row r="458" spans="1:10" x14ac:dyDescent="0.3">
      <c r="A458" s="223" t="s">
        <v>1590</v>
      </c>
      <c r="B458" s="199" t="s">
        <v>1591</v>
      </c>
      <c r="C458" s="198" t="s">
        <v>1589</v>
      </c>
      <c r="D458" s="200">
        <v>712.178</v>
      </c>
      <c r="E458" s="201"/>
      <c r="F458" s="202"/>
      <c r="G458" s="201"/>
      <c r="H458" s="202"/>
      <c r="I458" s="203"/>
      <c r="J458" s="203"/>
    </row>
    <row r="459" spans="1:10" x14ac:dyDescent="0.3">
      <c r="A459" s="223" t="s">
        <v>2118</v>
      </c>
      <c r="B459" s="199" t="s">
        <v>2119</v>
      </c>
      <c r="C459" s="198" t="s">
        <v>273</v>
      </c>
      <c r="D459" s="200">
        <v>0.91300000000000003</v>
      </c>
      <c r="E459" s="201"/>
      <c r="F459" s="202"/>
      <c r="G459" s="201"/>
      <c r="H459" s="202"/>
      <c r="I459" s="203"/>
      <c r="J459" s="204"/>
    </row>
    <row r="460" spans="1:10" x14ac:dyDescent="0.3">
      <c r="A460" s="223" t="s">
        <v>2120</v>
      </c>
      <c r="B460" s="199" t="s">
        <v>2121</v>
      </c>
      <c r="C460" s="198" t="s">
        <v>198</v>
      </c>
      <c r="D460" s="200">
        <v>9.375</v>
      </c>
      <c r="E460" s="201"/>
      <c r="F460" s="202"/>
      <c r="G460" s="201"/>
      <c r="H460" s="202"/>
      <c r="I460" s="203"/>
      <c r="J460" s="204"/>
    </row>
    <row r="461" spans="1:10" x14ac:dyDescent="0.3">
      <c r="A461" s="223" t="s">
        <v>2122</v>
      </c>
      <c r="B461" s="199" t="s">
        <v>2123</v>
      </c>
      <c r="C461" s="198" t="s">
        <v>198</v>
      </c>
      <c r="D461" s="200">
        <v>9.8049999999999997</v>
      </c>
      <c r="E461" s="201"/>
      <c r="F461" s="202"/>
      <c r="G461" s="201"/>
      <c r="H461" s="202"/>
      <c r="I461" s="203"/>
      <c r="J461" s="204"/>
    </row>
    <row r="462" spans="1:10" x14ac:dyDescent="0.3">
      <c r="A462" s="223" t="s">
        <v>1040</v>
      </c>
      <c r="B462" s="199" t="s">
        <v>1041</v>
      </c>
      <c r="C462" s="198" t="s">
        <v>1042</v>
      </c>
      <c r="D462" s="200">
        <v>3.2370000000000001</v>
      </c>
      <c r="E462" s="201"/>
      <c r="F462" s="202"/>
      <c r="G462" s="201"/>
      <c r="H462" s="202"/>
      <c r="I462" s="203"/>
      <c r="J462" s="204"/>
    </row>
    <row r="463" spans="1:10" x14ac:dyDescent="0.3">
      <c r="A463" s="223" t="s">
        <v>1043</v>
      </c>
      <c r="B463" s="199" t="s">
        <v>1044</v>
      </c>
      <c r="C463" s="198" t="s">
        <v>1045</v>
      </c>
      <c r="D463" s="200">
        <v>219.386</v>
      </c>
      <c r="E463" s="201"/>
      <c r="F463" s="202"/>
      <c r="G463" s="201"/>
      <c r="H463" s="202"/>
      <c r="I463" s="203"/>
      <c r="J463" s="204"/>
    </row>
    <row r="464" spans="1:10" x14ac:dyDescent="0.3">
      <c r="A464" s="223" t="s">
        <v>1627</v>
      </c>
      <c r="B464" s="199" t="s">
        <v>1628</v>
      </c>
      <c r="C464" s="198" t="s">
        <v>762</v>
      </c>
      <c r="D464" s="200">
        <v>30.001000000000001</v>
      </c>
      <c r="E464" s="201"/>
      <c r="F464" s="202"/>
      <c r="G464" s="201"/>
      <c r="H464" s="202"/>
      <c r="I464" s="203"/>
      <c r="J464" s="204"/>
    </row>
    <row r="465" spans="1:10" x14ac:dyDescent="0.3">
      <c r="A465" s="224" t="s">
        <v>1046</v>
      </c>
      <c r="B465" s="199" t="s">
        <v>1047</v>
      </c>
      <c r="C465" s="207" t="s">
        <v>199</v>
      </c>
      <c r="D465" s="200">
        <v>1.657</v>
      </c>
      <c r="E465" s="210"/>
      <c r="F465" s="200"/>
      <c r="G465" s="210"/>
      <c r="H465" s="200"/>
      <c r="I465" s="210"/>
      <c r="J465" s="211"/>
    </row>
    <row r="466" spans="1:10" x14ac:dyDescent="0.3">
      <c r="A466" s="223" t="s">
        <v>1958</v>
      </c>
      <c r="B466" s="199" t="s">
        <v>1959</v>
      </c>
      <c r="C466" s="198" t="s">
        <v>452</v>
      </c>
      <c r="D466" s="200">
        <v>206.14500000000001</v>
      </c>
      <c r="E466" s="201"/>
      <c r="F466" s="202"/>
      <c r="G466" s="201"/>
      <c r="H466" s="202"/>
      <c r="I466" s="203"/>
      <c r="J466" s="204"/>
    </row>
    <row r="467" spans="1:10" x14ac:dyDescent="0.3">
      <c r="A467" s="223" t="s">
        <v>1986</v>
      </c>
      <c r="B467" s="199" t="s">
        <v>1987</v>
      </c>
      <c r="C467" s="198" t="s">
        <v>834</v>
      </c>
      <c r="D467" s="200">
        <v>11.345000000000001</v>
      </c>
      <c r="E467" s="201"/>
      <c r="F467" s="202"/>
      <c r="G467" s="201"/>
      <c r="H467" s="202"/>
      <c r="I467" s="203"/>
      <c r="J467" s="204"/>
    </row>
    <row r="468" spans="1:10" x14ac:dyDescent="0.3">
      <c r="A468" s="223" t="s">
        <v>1048</v>
      </c>
      <c r="B468" s="199" t="s">
        <v>1049</v>
      </c>
      <c r="C468" s="198" t="s">
        <v>209</v>
      </c>
      <c r="D468" s="200">
        <v>11.845000000000001</v>
      </c>
      <c r="E468" s="201"/>
      <c r="F468" s="202"/>
      <c r="G468" s="201"/>
      <c r="H468" s="202"/>
      <c r="I468" s="203"/>
      <c r="J468" s="204"/>
    </row>
    <row r="469" spans="1:10" x14ac:dyDescent="0.3">
      <c r="A469" s="223" t="s">
        <v>1050</v>
      </c>
      <c r="B469" s="199" t="s">
        <v>1051</v>
      </c>
      <c r="C469" s="198" t="s">
        <v>257</v>
      </c>
      <c r="D469" s="200">
        <v>2.1</v>
      </c>
      <c r="E469" s="201"/>
      <c r="F469" s="202"/>
      <c r="G469" s="201"/>
      <c r="H469" s="202"/>
      <c r="I469" s="203"/>
      <c r="J469" s="204"/>
    </row>
    <row r="470" spans="1:10" x14ac:dyDescent="0.3">
      <c r="A470" s="224" t="s">
        <v>1052</v>
      </c>
      <c r="B470" s="199" t="s">
        <v>1053</v>
      </c>
      <c r="C470" s="207" t="s">
        <v>458</v>
      </c>
      <c r="D470" s="200">
        <v>1.615</v>
      </c>
      <c r="E470" s="210"/>
      <c r="F470" s="200"/>
      <c r="G470" s="210"/>
      <c r="H470" s="200"/>
      <c r="I470" s="210"/>
      <c r="J470" s="204"/>
    </row>
    <row r="471" spans="1:10" x14ac:dyDescent="0.3">
      <c r="A471" s="223" t="s">
        <v>1054</v>
      </c>
      <c r="B471" s="199" t="s">
        <v>1055</v>
      </c>
      <c r="C471" s="198" t="s">
        <v>295</v>
      </c>
      <c r="D471" s="200">
        <v>3002.828</v>
      </c>
      <c r="E471" s="201"/>
      <c r="F471" s="202"/>
      <c r="G471" s="201"/>
      <c r="H471" s="202"/>
      <c r="I471" s="203"/>
      <c r="J471" s="204"/>
    </row>
    <row r="472" spans="1:10" x14ac:dyDescent="0.3">
      <c r="A472" s="223" t="s">
        <v>1056</v>
      </c>
      <c r="B472" s="199" t="s">
        <v>1057</v>
      </c>
      <c r="C472" s="198" t="s">
        <v>198</v>
      </c>
      <c r="D472" s="200">
        <v>0.3</v>
      </c>
      <c r="E472" s="201"/>
      <c r="F472" s="202"/>
      <c r="G472" s="201"/>
      <c r="H472" s="202"/>
      <c r="I472" s="203"/>
      <c r="J472" s="204"/>
    </row>
    <row r="473" spans="1:10" x14ac:dyDescent="0.3">
      <c r="A473" s="224" t="s">
        <v>1058</v>
      </c>
      <c r="B473" s="199" t="s">
        <v>1059</v>
      </c>
      <c r="C473" s="207" t="s">
        <v>273</v>
      </c>
      <c r="D473" s="200">
        <v>0.52400000000000002</v>
      </c>
      <c r="E473" s="210"/>
      <c r="F473" s="200"/>
      <c r="G473" s="210"/>
      <c r="H473" s="200"/>
      <c r="I473" s="210"/>
      <c r="J473" s="204"/>
    </row>
    <row r="474" spans="1:10" x14ac:dyDescent="0.3">
      <c r="A474" s="223" t="s">
        <v>1060</v>
      </c>
      <c r="B474" s="199" t="s">
        <v>1061</v>
      </c>
      <c r="C474" s="198" t="s">
        <v>513</v>
      </c>
      <c r="D474" s="200">
        <v>0.254</v>
      </c>
      <c r="E474" s="201"/>
      <c r="F474" s="202"/>
      <c r="G474" s="201"/>
      <c r="H474" s="202"/>
      <c r="I474" s="203"/>
      <c r="J474" s="204"/>
    </row>
    <row r="475" spans="1:10" x14ac:dyDescent="0.3">
      <c r="A475" s="223" t="s">
        <v>1062</v>
      </c>
      <c r="B475" s="199" t="s">
        <v>1063</v>
      </c>
      <c r="C475" s="198" t="s">
        <v>200</v>
      </c>
      <c r="D475" s="200">
        <v>0.23</v>
      </c>
      <c r="E475" s="201"/>
      <c r="F475" s="202"/>
      <c r="G475" s="201"/>
      <c r="H475" s="202"/>
      <c r="I475" s="203"/>
      <c r="J475" s="204"/>
    </row>
    <row r="476" spans="1:10" x14ac:dyDescent="0.3">
      <c r="A476" s="223" t="s">
        <v>1064</v>
      </c>
      <c r="B476" s="199" t="s">
        <v>1065</v>
      </c>
      <c r="C476" s="198" t="s">
        <v>553</v>
      </c>
      <c r="D476" s="200">
        <v>888.99400000000003</v>
      </c>
      <c r="E476" s="201"/>
      <c r="F476" s="202"/>
      <c r="G476" s="201"/>
      <c r="H476" s="202"/>
      <c r="I476" s="203"/>
      <c r="J476" s="204"/>
    </row>
    <row r="477" spans="1:10" x14ac:dyDescent="0.3">
      <c r="A477" s="223" t="s">
        <v>1066</v>
      </c>
      <c r="B477" s="199" t="s">
        <v>1067</v>
      </c>
      <c r="C477" s="198" t="s">
        <v>198</v>
      </c>
      <c r="D477" s="200">
        <v>1.7999999999999999E-2</v>
      </c>
      <c r="E477" s="201"/>
      <c r="F477" s="202"/>
      <c r="G477" s="201"/>
      <c r="H477" s="202"/>
      <c r="I477" s="203"/>
      <c r="J477" s="204"/>
    </row>
    <row r="478" spans="1:10" x14ac:dyDescent="0.3">
      <c r="A478" s="223" t="s">
        <v>1068</v>
      </c>
      <c r="B478" s="199" t="s">
        <v>1069</v>
      </c>
      <c r="C478" s="198" t="s">
        <v>553</v>
      </c>
      <c r="D478" s="200">
        <v>0.70699999999999996</v>
      </c>
      <c r="E478" s="201"/>
      <c r="F478" s="202"/>
      <c r="G478" s="201"/>
      <c r="H478" s="202"/>
      <c r="I478" s="203"/>
      <c r="J478" s="204"/>
    </row>
    <row r="479" spans="1:10" x14ac:dyDescent="0.3">
      <c r="A479" s="223" t="s">
        <v>1070</v>
      </c>
      <c r="B479" s="199" t="s">
        <v>1071</v>
      </c>
      <c r="C479" s="198" t="s">
        <v>295</v>
      </c>
      <c r="D479" s="200">
        <v>50.115000000000002</v>
      </c>
      <c r="E479" s="201"/>
      <c r="F479" s="202"/>
      <c r="G479" s="201"/>
      <c r="H479" s="202"/>
      <c r="I479" s="203"/>
      <c r="J479" s="204"/>
    </row>
    <row r="480" spans="1:10" x14ac:dyDescent="0.3">
      <c r="A480" s="223" t="s">
        <v>1072</v>
      </c>
      <c r="B480" s="199" t="s">
        <v>1073</v>
      </c>
      <c r="C480" s="198" t="s">
        <v>295</v>
      </c>
      <c r="D480" s="200">
        <v>0.216</v>
      </c>
      <c r="E480" s="201"/>
      <c r="F480" s="202"/>
      <c r="G480" s="201"/>
      <c r="H480" s="202"/>
      <c r="I480" s="203"/>
      <c r="J480" s="204"/>
    </row>
    <row r="481" spans="1:10" x14ac:dyDescent="0.3">
      <c r="A481" s="223" t="s">
        <v>1074</v>
      </c>
      <c r="B481" s="199" t="s">
        <v>1075</v>
      </c>
      <c r="C481" s="198" t="s">
        <v>1076</v>
      </c>
      <c r="D481" s="200">
        <v>0.77100000000000002</v>
      </c>
      <c r="E481" s="201"/>
      <c r="F481" s="202"/>
      <c r="G481" s="201"/>
      <c r="H481" s="202"/>
      <c r="I481" s="203"/>
      <c r="J481" s="204"/>
    </row>
    <row r="482" spans="1:10" x14ac:dyDescent="0.3">
      <c r="A482" s="223" t="s">
        <v>1077</v>
      </c>
      <c r="B482" s="199" t="s">
        <v>1078</v>
      </c>
      <c r="C482" s="198" t="s">
        <v>198</v>
      </c>
      <c r="D482" s="200">
        <v>3.1459999999999999</v>
      </c>
      <c r="E482" s="201"/>
      <c r="F482" s="202"/>
      <c r="G482" s="201"/>
      <c r="H482" s="202"/>
      <c r="I482" s="203"/>
      <c r="J482" s="204"/>
    </row>
    <row r="483" spans="1:10" x14ac:dyDescent="0.3">
      <c r="A483" s="223" t="s">
        <v>1079</v>
      </c>
      <c r="B483" s="199" t="s">
        <v>1080</v>
      </c>
      <c r="C483" s="198" t="s">
        <v>200</v>
      </c>
      <c r="D483" s="200">
        <v>233.75200000000001</v>
      </c>
      <c r="E483" s="201"/>
      <c r="F483" s="202"/>
      <c r="G483" s="201"/>
      <c r="H483" s="202"/>
      <c r="I483" s="203"/>
      <c r="J483" s="204"/>
    </row>
    <row r="484" spans="1:10" x14ac:dyDescent="0.3">
      <c r="A484" s="223" t="s">
        <v>1081</v>
      </c>
      <c r="B484" s="199" t="s">
        <v>1082</v>
      </c>
      <c r="C484" s="198" t="s">
        <v>458</v>
      </c>
      <c r="D484" s="200">
        <v>3.5990000000000002</v>
      </c>
      <c r="E484" s="201"/>
      <c r="F484" s="202"/>
      <c r="G484" s="201"/>
      <c r="H484" s="202"/>
      <c r="I484" s="203"/>
      <c r="J484" s="204"/>
    </row>
    <row r="485" spans="1:10" x14ac:dyDescent="0.3">
      <c r="A485" s="223" t="s">
        <v>1083</v>
      </c>
      <c r="B485" s="199" t="s">
        <v>1084</v>
      </c>
      <c r="C485" s="198" t="s">
        <v>1085</v>
      </c>
      <c r="D485" s="200">
        <v>3.1760000000000002</v>
      </c>
      <c r="E485" s="201"/>
      <c r="F485" s="202"/>
      <c r="G485" s="201"/>
      <c r="H485" s="202"/>
      <c r="I485" s="203"/>
      <c r="J485" s="204"/>
    </row>
    <row r="486" spans="1:10" x14ac:dyDescent="0.3">
      <c r="A486" s="223" t="s">
        <v>1086</v>
      </c>
      <c r="B486" s="199" t="s">
        <v>1087</v>
      </c>
      <c r="C486" s="198" t="s">
        <v>239</v>
      </c>
      <c r="D486" s="200">
        <v>6.468</v>
      </c>
      <c r="E486" s="201"/>
      <c r="F486" s="202"/>
      <c r="G486" s="201"/>
      <c r="H486" s="202"/>
      <c r="I486" s="203"/>
      <c r="J486" s="204"/>
    </row>
    <row r="487" spans="1:10" x14ac:dyDescent="0.3">
      <c r="A487" s="223" t="s">
        <v>1088</v>
      </c>
      <c r="B487" s="199" t="s">
        <v>1089</v>
      </c>
      <c r="C487" s="198" t="s">
        <v>405</v>
      </c>
      <c r="D487" s="200">
        <v>6.8890000000000002</v>
      </c>
      <c r="E487" s="201"/>
      <c r="F487" s="202"/>
      <c r="G487" s="201"/>
      <c r="H487" s="202"/>
      <c r="I487" s="203"/>
      <c r="J487" s="204"/>
    </row>
    <row r="488" spans="1:10" x14ac:dyDescent="0.3">
      <c r="A488" s="223" t="s">
        <v>1090</v>
      </c>
      <c r="B488" s="199" t="s">
        <v>1091</v>
      </c>
      <c r="C488" s="198" t="s">
        <v>198</v>
      </c>
      <c r="D488" s="200">
        <v>0.182</v>
      </c>
      <c r="E488" s="201"/>
      <c r="F488" s="202"/>
      <c r="G488" s="201"/>
      <c r="H488" s="202"/>
      <c r="I488" s="203"/>
      <c r="J488" s="204"/>
    </row>
    <row r="489" spans="1:10" x14ac:dyDescent="0.3">
      <c r="A489" s="223" t="s">
        <v>1092</v>
      </c>
      <c r="B489" s="199" t="s">
        <v>1093</v>
      </c>
      <c r="C489" s="198" t="s">
        <v>396</v>
      </c>
      <c r="D489" s="200">
        <v>0.22800000000000001</v>
      </c>
      <c r="E489" s="201"/>
      <c r="F489" s="202"/>
      <c r="G489" s="201"/>
      <c r="H489" s="202"/>
      <c r="I489" s="203"/>
      <c r="J489" s="204"/>
    </row>
    <row r="490" spans="1:10" x14ac:dyDescent="0.3">
      <c r="A490" s="223" t="s">
        <v>1094</v>
      </c>
      <c r="B490" s="199" t="s">
        <v>1095</v>
      </c>
      <c r="C490" s="198" t="s">
        <v>198</v>
      </c>
      <c r="D490" s="200">
        <v>3.5000000000000003E-2</v>
      </c>
      <c r="E490" s="201"/>
      <c r="F490" s="202"/>
      <c r="G490" s="201"/>
      <c r="H490" s="202"/>
      <c r="I490" s="203"/>
      <c r="J490" s="204"/>
    </row>
    <row r="491" spans="1:10" x14ac:dyDescent="0.3">
      <c r="A491" s="223" t="s">
        <v>1096</v>
      </c>
      <c r="B491" s="199" t="s">
        <v>1097</v>
      </c>
      <c r="C491" s="198" t="s">
        <v>396</v>
      </c>
      <c r="D491" s="200">
        <v>0.05</v>
      </c>
      <c r="E491" s="201"/>
      <c r="F491" s="202"/>
      <c r="G491" s="201"/>
      <c r="H491" s="202"/>
      <c r="I491" s="203"/>
      <c r="J491" s="204"/>
    </row>
    <row r="492" spans="1:10" x14ac:dyDescent="0.3">
      <c r="A492" s="223" t="s">
        <v>1098</v>
      </c>
      <c r="B492" s="199" t="s">
        <v>1099</v>
      </c>
      <c r="C492" s="198" t="s">
        <v>1100</v>
      </c>
      <c r="D492" s="200">
        <v>0.129</v>
      </c>
      <c r="E492" s="201"/>
      <c r="F492" s="202"/>
      <c r="G492" s="201"/>
      <c r="H492" s="202"/>
      <c r="I492" s="203"/>
      <c r="J492" s="204"/>
    </row>
    <row r="493" spans="1:10" x14ac:dyDescent="0.3">
      <c r="A493" s="223" t="s">
        <v>1101</v>
      </c>
      <c r="B493" s="199" t="s">
        <v>1102</v>
      </c>
      <c r="C493" s="198" t="s">
        <v>396</v>
      </c>
      <c r="D493" s="200">
        <v>0.86799999999999999</v>
      </c>
      <c r="E493" s="201"/>
      <c r="F493" s="202"/>
      <c r="G493" s="201"/>
      <c r="H493" s="202"/>
      <c r="I493" s="203"/>
      <c r="J493" s="204"/>
    </row>
    <row r="494" spans="1:10" x14ac:dyDescent="0.3">
      <c r="A494" s="223" t="s">
        <v>1103</v>
      </c>
      <c r="B494" s="199" t="s">
        <v>1104</v>
      </c>
      <c r="C494" s="198" t="s">
        <v>199</v>
      </c>
      <c r="D494" s="200">
        <v>1.64</v>
      </c>
      <c r="E494" s="201"/>
      <c r="F494" s="202"/>
      <c r="G494" s="201"/>
      <c r="H494" s="202"/>
      <c r="I494" s="203"/>
      <c r="J494" s="204"/>
    </row>
    <row r="495" spans="1:10" x14ac:dyDescent="0.3">
      <c r="A495" s="223" t="s">
        <v>1105</v>
      </c>
      <c r="B495" s="199" t="s">
        <v>1106</v>
      </c>
      <c r="C495" s="198" t="s">
        <v>198</v>
      </c>
      <c r="D495" s="200">
        <v>50.12</v>
      </c>
      <c r="E495" s="201"/>
      <c r="F495" s="202"/>
      <c r="G495" s="201"/>
      <c r="H495" s="202"/>
      <c r="I495" s="203"/>
      <c r="J495" s="204"/>
    </row>
    <row r="496" spans="1:10" x14ac:dyDescent="0.3">
      <c r="A496" s="223" t="s">
        <v>1107</v>
      </c>
      <c r="B496" s="199" t="s">
        <v>1108</v>
      </c>
      <c r="C496" s="198" t="s">
        <v>198</v>
      </c>
      <c r="D496" s="200">
        <v>0.22600000000000001</v>
      </c>
      <c r="E496" s="201"/>
      <c r="F496" s="202"/>
      <c r="G496" s="201"/>
      <c r="H496" s="202"/>
      <c r="I496" s="203"/>
      <c r="J496" s="204"/>
    </row>
    <row r="497" spans="1:10" x14ac:dyDescent="0.3">
      <c r="A497" s="223" t="s">
        <v>1109</v>
      </c>
      <c r="B497" s="199" t="s">
        <v>1110</v>
      </c>
      <c r="C497" s="198" t="s">
        <v>198</v>
      </c>
      <c r="D497" s="200">
        <v>0.68799999999999994</v>
      </c>
      <c r="E497" s="201"/>
      <c r="F497" s="202"/>
      <c r="G497" s="201"/>
      <c r="H497" s="202"/>
      <c r="I497" s="203"/>
      <c r="J497" s="204"/>
    </row>
    <row r="498" spans="1:10" x14ac:dyDescent="0.3">
      <c r="A498" s="223" t="s">
        <v>1629</v>
      </c>
      <c r="B498" s="199" t="s">
        <v>1630</v>
      </c>
      <c r="C498" s="198" t="s">
        <v>452</v>
      </c>
      <c r="D498" s="200">
        <v>0.187</v>
      </c>
      <c r="E498" s="201"/>
      <c r="F498" s="202"/>
      <c r="G498" s="201"/>
      <c r="H498" s="202"/>
      <c r="I498" s="203"/>
      <c r="J498" s="204"/>
    </row>
    <row r="499" spans="1:10" x14ac:dyDescent="0.3">
      <c r="A499" s="223" t="s">
        <v>1111</v>
      </c>
      <c r="B499" s="199" t="s">
        <v>1112</v>
      </c>
      <c r="C499" s="198" t="s">
        <v>683</v>
      </c>
      <c r="D499" s="200">
        <v>29.178999999999998</v>
      </c>
      <c r="E499" s="201"/>
      <c r="F499" s="202"/>
      <c r="G499" s="201"/>
      <c r="H499" s="202"/>
      <c r="I499" s="203"/>
      <c r="J499" s="204"/>
    </row>
    <row r="500" spans="1:10" x14ac:dyDescent="0.3">
      <c r="A500" s="223" t="s">
        <v>1113</v>
      </c>
      <c r="B500" s="199" t="s">
        <v>1114</v>
      </c>
      <c r="C500" s="198" t="s">
        <v>1115</v>
      </c>
      <c r="D500" s="200">
        <v>704.65</v>
      </c>
      <c r="E500" s="201"/>
      <c r="F500" s="202"/>
      <c r="G500" s="201"/>
      <c r="H500" s="202"/>
      <c r="I500" s="203"/>
      <c r="J500" s="204"/>
    </row>
    <row r="501" spans="1:10" x14ac:dyDescent="0.3">
      <c r="A501" s="223" t="s">
        <v>1116</v>
      </c>
      <c r="B501" s="199" t="s">
        <v>1117</v>
      </c>
      <c r="C501" s="198" t="s">
        <v>200</v>
      </c>
      <c r="D501" s="200">
        <v>3.2360000000000002</v>
      </c>
      <c r="E501" s="201"/>
      <c r="F501" s="202"/>
      <c r="G501" s="201"/>
      <c r="H501" s="202"/>
      <c r="I501" s="203"/>
      <c r="J501" s="204"/>
    </row>
    <row r="502" spans="1:10" x14ac:dyDescent="0.3">
      <c r="A502" s="223" t="s">
        <v>1120</v>
      </c>
      <c r="B502" s="199" t="s">
        <v>1121</v>
      </c>
      <c r="C502" s="198" t="s">
        <v>445</v>
      </c>
      <c r="D502" s="200">
        <v>0.59699999999999998</v>
      </c>
      <c r="E502" s="201"/>
      <c r="F502" s="202"/>
      <c r="G502" s="201"/>
      <c r="H502" s="202"/>
      <c r="I502" s="203"/>
      <c r="J502" s="204"/>
    </row>
    <row r="503" spans="1:10" x14ac:dyDescent="0.3">
      <c r="A503" s="223" t="s">
        <v>1122</v>
      </c>
      <c r="B503" s="199" t="s">
        <v>1123</v>
      </c>
      <c r="C503" s="198" t="s">
        <v>284</v>
      </c>
      <c r="D503" s="200">
        <v>1.3939999999999999</v>
      </c>
      <c r="E503" s="201"/>
      <c r="F503" s="202"/>
      <c r="G503" s="201"/>
      <c r="H503" s="202"/>
      <c r="I503" s="203"/>
      <c r="J503" s="204"/>
    </row>
    <row r="504" spans="1:10" x14ac:dyDescent="0.3">
      <c r="A504" s="223" t="s">
        <v>1124</v>
      </c>
      <c r="B504" s="199" t="s">
        <v>1125</v>
      </c>
      <c r="C504" s="198" t="s">
        <v>553</v>
      </c>
      <c r="D504" s="200">
        <v>0.67300000000000004</v>
      </c>
      <c r="E504" s="201"/>
      <c r="F504" s="202"/>
      <c r="G504" s="201"/>
      <c r="H504" s="202"/>
      <c r="I504" s="203"/>
      <c r="J504" s="204"/>
    </row>
    <row r="505" spans="1:10" x14ac:dyDescent="0.3">
      <c r="A505" s="223" t="s">
        <v>1126</v>
      </c>
      <c r="B505" s="199" t="s">
        <v>1127</v>
      </c>
      <c r="C505" s="198" t="s">
        <v>458</v>
      </c>
      <c r="D505" s="200">
        <v>0.105</v>
      </c>
      <c r="E505" s="201"/>
      <c r="F505" s="202"/>
      <c r="G505" s="201"/>
      <c r="H505" s="202"/>
      <c r="I505" s="203"/>
      <c r="J505" s="204"/>
    </row>
    <row r="506" spans="1:10" x14ac:dyDescent="0.3">
      <c r="A506" s="223" t="s">
        <v>1128</v>
      </c>
      <c r="B506" s="199" t="s">
        <v>1129</v>
      </c>
      <c r="C506" s="198" t="s">
        <v>209</v>
      </c>
      <c r="D506" s="200">
        <v>76.405000000000001</v>
      </c>
      <c r="E506" s="201"/>
      <c r="F506" s="202"/>
      <c r="G506" s="201"/>
      <c r="H506" s="202"/>
      <c r="I506" s="203"/>
      <c r="J506" s="204"/>
    </row>
    <row r="507" spans="1:10" x14ac:dyDescent="0.3">
      <c r="A507" s="223" t="s">
        <v>1132</v>
      </c>
      <c r="B507" s="199" t="s">
        <v>1133</v>
      </c>
      <c r="C507" s="198" t="s">
        <v>1134</v>
      </c>
      <c r="D507" s="200">
        <v>0.22600000000000001</v>
      </c>
      <c r="E507" s="201"/>
      <c r="F507" s="202"/>
      <c r="G507" s="201"/>
      <c r="H507" s="202"/>
      <c r="I507" s="203"/>
      <c r="J507" s="204"/>
    </row>
    <row r="508" spans="1:10" x14ac:dyDescent="0.3">
      <c r="A508" s="224" t="s">
        <v>1135</v>
      </c>
      <c r="B508" s="199" t="s">
        <v>1136</v>
      </c>
      <c r="C508" s="218" t="s">
        <v>396</v>
      </c>
      <c r="D508" s="200">
        <v>409.52800000000002</v>
      </c>
      <c r="E508" s="210"/>
      <c r="F508" s="200"/>
      <c r="G508" s="210"/>
      <c r="H508" s="200"/>
      <c r="I508" s="210"/>
      <c r="J508" s="204"/>
    </row>
    <row r="509" spans="1:10" x14ac:dyDescent="0.3">
      <c r="A509" s="223" t="s">
        <v>1137</v>
      </c>
      <c r="B509" s="199" t="s">
        <v>1138</v>
      </c>
      <c r="C509" s="198" t="s">
        <v>198</v>
      </c>
      <c r="D509" s="200">
        <v>1.8180000000000001</v>
      </c>
      <c r="E509" s="201"/>
      <c r="F509" s="202"/>
      <c r="G509" s="201"/>
      <c r="H509" s="202"/>
      <c r="I509" s="203"/>
      <c r="J509" s="204"/>
    </row>
    <row r="510" spans="1:10" x14ac:dyDescent="0.3">
      <c r="A510" s="223" t="s">
        <v>1139</v>
      </c>
      <c r="B510" s="199" t="s">
        <v>1140</v>
      </c>
      <c r="C510" s="198" t="s">
        <v>200</v>
      </c>
      <c r="D510" s="200">
        <v>0.21099999999999999</v>
      </c>
      <c r="E510" s="201"/>
      <c r="F510" s="202"/>
      <c r="G510" s="201"/>
      <c r="H510" s="202"/>
      <c r="I510" s="203"/>
      <c r="J510" s="204"/>
    </row>
    <row r="511" spans="1:10" x14ac:dyDescent="0.3">
      <c r="A511" s="223" t="s">
        <v>1141</v>
      </c>
      <c r="B511" s="199" t="s">
        <v>1142</v>
      </c>
      <c r="C511" s="198" t="s">
        <v>1143</v>
      </c>
      <c r="D511" s="200">
        <v>104.364</v>
      </c>
      <c r="E511" s="201"/>
      <c r="F511" s="202"/>
      <c r="G511" s="201"/>
      <c r="H511" s="202"/>
      <c r="I511" s="203"/>
      <c r="J511" s="204"/>
    </row>
    <row r="512" spans="1:10" x14ac:dyDescent="0.3">
      <c r="A512" s="223" t="s">
        <v>1144</v>
      </c>
      <c r="B512" s="199" t="s">
        <v>1145</v>
      </c>
      <c r="C512" s="198" t="s">
        <v>199</v>
      </c>
      <c r="D512" s="200">
        <v>2.3969999999999998</v>
      </c>
      <c r="E512" s="201"/>
      <c r="F512" s="202"/>
      <c r="G512" s="201"/>
      <c r="H512" s="202"/>
      <c r="I512" s="203"/>
      <c r="J512" s="204"/>
    </row>
    <row r="513" spans="1:10" x14ac:dyDescent="0.3">
      <c r="A513" s="223" t="s">
        <v>1146</v>
      </c>
      <c r="B513" s="199" t="s">
        <v>1147</v>
      </c>
      <c r="C513" s="198" t="s">
        <v>198</v>
      </c>
      <c r="D513" s="200">
        <v>15.907</v>
      </c>
      <c r="E513" s="201"/>
      <c r="F513" s="202"/>
      <c r="G513" s="201"/>
      <c r="H513" s="202"/>
      <c r="I513" s="203"/>
      <c r="J513" s="204"/>
    </row>
    <row r="514" spans="1:10" x14ac:dyDescent="0.3">
      <c r="A514" s="223" t="s">
        <v>2099</v>
      </c>
      <c r="B514" s="199" t="s">
        <v>2100</v>
      </c>
      <c r="C514" s="198" t="s">
        <v>273</v>
      </c>
      <c r="D514" s="200">
        <v>48.08</v>
      </c>
      <c r="E514" s="201"/>
      <c r="F514" s="202"/>
      <c r="G514" s="201"/>
      <c r="H514" s="202"/>
      <c r="I514" s="203"/>
      <c r="J514" s="204"/>
    </row>
    <row r="515" spans="1:10" x14ac:dyDescent="0.3">
      <c r="A515" s="223" t="s">
        <v>1151</v>
      </c>
      <c r="B515" s="199" t="s">
        <v>1152</v>
      </c>
      <c r="C515" s="198" t="s">
        <v>199</v>
      </c>
      <c r="D515" s="200">
        <v>80.799000000000007</v>
      </c>
      <c r="E515" s="201"/>
      <c r="F515" s="202"/>
      <c r="G515" s="201"/>
      <c r="H515" s="202"/>
      <c r="I515" s="203"/>
      <c r="J515" s="204"/>
    </row>
    <row r="516" spans="1:10" x14ac:dyDescent="0.3">
      <c r="A516" s="223" t="s">
        <v>1153</v>
      </c>
      <c r="B516" s="199" t="s">
        <v>1154</v>
      </c>
      <c r="C516" s="198" t="s">
        <v>199</v>
      </c>
      <c r="D516" s="200">
        <v>89.334999999999994</v>
      </c>
      <c r="E516" s="201"/>
      <c r="F516" s="202"/>
      <c r="G516" s="201"/>
      <c r="H516" s="202"/>
      <c r="I516" s="203"/>
      <c r="J516" s="204"/>
    </row>
    <row r="517" spans="1:10" x14ac:dyDescent="0.3">
      <c r="A517" s="223" t="s">
        <v>1155</v>
      </c>
      <c r="B517" s="199" t="s">
        <v>1156</v>
      </c>
      <c r="C517" s="198" t="s">
        <v>198</v>
      </c>
      <c r="D517" s="200">
        <v>0.45400000000000001</v>
      </c>
      <c r="E517" s="201"/>
      <c r="F517" s="202"/>
      <c r="G517" s="201"/>
      <c r="H517" s="202"/>
      <c r="I517" s="203"/>
      <c r="J517" s="204"/>
    </row>
    <row r="518" spans="1:10" x14ac:dyDescent="0.3">
      <c r="A518" s="223" t="s">
        <v>1157</v>
      </c>
      <c r="B518" s="199" t="s">
        <v>1158</v>
      </c>
      <c r="C518" s="198" t="s">
        <v>198</v>
      </c>
      <c r="D518" s="200">
        <v>38.018000000000001</v>
      </c>
      <c r="E518" s="201"/>
      <c r="F518" s="202"/>
      <c r="G518" s="201"/>
      <c r="H518" s="202"/>
      <c r="I518" s="203"/>
      <c r="J518" s="204"/>
    </row>
    <row r="519" spans="1:10" x14ac:dyDescent="0.3">
      <c r="A519" s="223" t="s">
        <v>1159</v>
      </c>
      <c r="B519" s="199" t="s">
        <v>1160</v>
      </c>
      <c r="C519" s="198" t="s">
        <v>198</v>
      </c>
      <c r="D519" s="200">
        <v>2.8639999999999999</v>
      </c>
      <c r="E519" s="201"/>
      <c r="F519" s="202"/>
      <c r="G519" s="201"/>
      <c r="H519" s="202"/>
      <c r="I519" s="203"/>
      <c r="J519" s="204"/>
    </row>
    <row r="520" spans="1:10" x14ac:dyDescent="0.3">
      <c r="A520" s="224" t="s">
        <v>1161</v>
      </c>
      <c r="B520" s="199" t="s">
        <v>1162</v>
      </c>
      <c r="C520" s="207" t="s">
        <v>199</v>
      </c>
      <c r="D520" s="200">
        <v>46.154000000000003</v>
      </c>
      <c r="E520" s="210"/>
      <c r="F520" s="200"/>
      <c r="G520" s="210"/>
      <c r="H520" s="200"/>
      <c r="I520" s="210"/>
      <c r="J520" s="204"/>
    </row>
    <row r="521" spans="1:10" x14ac:dyDescent="0.3">
      <c r="A521" s="223" t="s">
        <v>1163</v>
      </c>
      <c r="B521" s="199" t="s">
        <v>1164</v>
      </c>
      <c r="C521" s="198" t="s">
        <v>198</v>
      </c>
      <c r="D521" s="200">
        <v>14.821999999999999</v>
      </c>
      <c r="E521" s="201"/>
      <c r="F521" s="202"/>
      <c r="G521" s="201"/>
      <c r="H521" s="202"/>
      <c r="I521" s="203"/>
      <c r="J521" s="204"/>
    </row>
    <row r="522" spans="1:10" x14ac:dyDescent="0.3">
      <c r="A522" s="223" t="s">
        <v>1165</v>
      </c>
      <c r="B522" s="199" t="s">
        <v>1166</v>
      </c>
      <c r="C522" s="198" t="s">
        <v>198</v>
      </c>
      <c r="D522" s="200">
        <v>16.809000000000001</v>
      </c>
      <c r="E522" s="201"/>
      <c r="F522" s="202"/>
      <c r="G522" s="201"/>
      <c r="H522" s="202"/>
      <c r="I522" s="203"/>
      <c r="J522" s="204"/>
    </row>
    <row r="523" spans="1:10" x14ac:dyDescent="0.3">
      <c r="A523" s="223" t="s">
        <v>1167</v>
      </c>
      <c r="B523" s="199" t="s">
        <v>1168</v>
      </c>
      <c r="C523" s="198" t="s">
        <v>199</v>
      </c>
      <c r="D523" s="200">
        <v>70.751999999999995</v>
      </c>
      <c r="E523" s="201"/>
      <c r="F523" s="202"/>
      <c r="G523" s="201"/>
      <c r="H523" s="202"/>
      <c r="I523" s="203"/>
      <c r="J523" s="204"/>
    </row>
    <row r="524" spans="1:10" x14ac:dyDescent="0.3">
      <c r="A524" s="223" t="s">
        <v>1169</v>
      </c>
      <c r="B524" s="199" t="s">
        <v>1170</v>
      </c>
      <c r="C524" s="198" t="s">
        <v>198</v>
      </c>
      <c r="D524" s="200">
        <v>18.274000000000001</v>
      </c>
      <c r="E524" s="201"/>
      <c r="F524" s="202"/>
      <c r="G524" s="201"/>
      <c r="H524" s="202"/>
      <c r="I524" s="203"/>
      <c r="J524" s="204"/>
    </row>
    <row r="525" spans="1:10" x14ac:dyDescent="0.3">
      <c r="A525" s="223" t="s">
        <v>1988</v>
      </c>
      <c r="B525" s="199" t="s">
        <v>2024</v>
      </c>
      <c r="C525" s="198" t="s">
        <v>396</v>
      </c>
      <c r="D525" s="200">
        <v>45.277999999999999</v>
      </c>
      <c r="E525" s="201"/>
      <c r="F525" s="202"/>
      <c r="G525" s="201"/>
      <c r="H525" s="202"/>
      <c r="I525" s="203"/>
      <c r="J525" s="204"/>
    </row>
    <row r="526" spans="1:10" x14ac:dyDescent="0.3">
      <c r="A526" s="223" t="s">
        <v>1171</v>
      </c>
      <c r="B526" s="199" t="s">
        <v>1172</v>
      </c>
      <c r="C526" s="198" t="s">
        <v>452</v>
      </c>
      <c r="D526" s="200">
        <v>135.61799999999999</v>
      </c>
      <c r="E526" s="201"/>
      <c r="F526" s="202"/>
      <c r="G526" s="201"/>
      <c r="H526" s="202"/>
      <c r="I526" s="203"/>
      <c r="J526" s="204"/>
    </row>
    <row r="527" spans="1:10" x14ac:dyDescent="0.3">
      <c r="A527" s="223" t="s">
        <v>1173</v>
      </c>
      <c r="B527" s="199" t="s">
        <v>1174</v>
      </c>
      <c r="C527" s="198" t="s">
        <v>1175</v>
      </c>
      <c r="D527" s="200">
        <v>25.245000000000001</v>
      </c>
      <c r="E527" s="201"/>
      <c r="F527" s="202"/>
      <c r="G527" s="201"/>
      <c r="H527" s="202"/>
      <c r="I527" s="203"/>
      <c r="J527" s="204"/>
    </row>
    <row r="528" spans="1:10" x14ac:dyDescent="0.3">
      <c r="A528" s="223" t="s">
        <v>1176</v>
      </c>
      <c r="B528" s="199" t="s">
        <v>2253</v>
      </c>
      <c r="C528" s="198" t="s">
        <v>273</v>
      </c>
      <c r="D528" s="200">
        <v>9.0109999999999992</v>
      </c>
      <c r="E528" s="201"/>
      <c r="F528" s="202"/>
      <c r="G528" s="201"/>
      <c r="H528" s="202"/>
      <c r="I528" s="203"/>
      <c r="J528" s="204"/>
    </row>
    <row r="529" spans="1:10" x14ac:dyDescent="0.3">
      <c r="A529" s="223" t="s">
        <v>1178</v>
      </c>
      <c r="B529" s="199" t="s">
        <v>1179</v>
      </c>
      <c r="C529" s="198" t="s">
        <v>198</v>
      </c>
      <c r="D529" s="200">
        <v>213.654</v>
      </c>
      <c r="E529" s="201"/>
      <c r="F529" s="202"/>
      <c r="G529" s="201"/>
      <c r="H529" s="202"/>
      <c r="I529" s="203"/>
      <c r="J529" s="204"/>
    </row>
    <row r="530" spans="1:10" x14ac:dyDescent="0.3">
      <c r="A530" s="223" t="s">
        <v>1180</v>
      </c>
      <c r="B530" s="199" t="s">
        <v>1181</v>
      </c>
      <c r="C530" s="198" t="s">
        <v>198</v>
      </c>
      <c r="D530" s="200">
        <v>199.209</v>
      </c>
      <c r="E530" s="201"/>
      <c r="F530" s="202"/>
      <c r="G530" s="201"/>
      <c r="H530" s="202"/>
      <c r="I530" s="203"/>
      <c r="J530" s="204"/>
    </row>
    <row r="531" spans="1:10" x14ac:dyDescent="0.3">
      <c r="A531" s="223" t="s">
        <v>1184</v>
      </c>
      <c r="B531" s="199" t="s">
        <v>1185</v>
      </c>
      <c r="C531" s="198" t="s">
        <v>209</v>
      </c>
      <c r="D531" s="200">
        <v>2.4830000000000001</v>
      </c>
      <c r="E531" s="201"/>
      <c r="F531" s="202"/>
      <c r="G531" s="201"/>
      <c r="H531" s="202"/>
      <c r="I531" s="203"/>
      <c r="J531" s="204"/>
    </row>
    <row r="532" spans="1:10" x14ac:dyDescent="0.3">
      <c r="A532" s="224" t="s">
        <v>2254</v>
      </c>
      <c r="B532" s="199" t="s">
        <v>2255</v>
      </c>
      <c r="C532" s="207" t="s">
        <v>273</v>
      </c>
      <c r="D532" s="200">
        <v>10.959</v>
      </c>
      <c r="E532" s="210"/>
      <c r="F532" s="200"/>
      <c r="G532" s="210"/>
      <c r="H532" s="200"/>
      <c r="I532" s="210"/>
      <c r="J532" s="212" t="s">
        <v>2185</v>
      </c>
    </row>
    <row r="533" spans="1:10" x14ac:dyDescent="0.3">
      <c r="A533" s="224" t="s">
        <v>1186</v>
      </c>
      <c r="B533" s="199" t="s">
        <v>1187</v>
      </c>
      <c r="C533" s="207" t="s">
        <v>198</v>
      </c>
      <c r="D533" s="200">
        <v>45.061</v>
      </c>
      <c r="E533" s="210"/>
      <c r="F533" s="200"/>
      <c r="G533" s="210"/>
      <c r="H533" s="200"/>
      <c r="I533" s="210"/>
      <c r="J533" s="204"/>
    </row>
    <row r="534" spans="1:10" x14ac:dyDescent="0.3">
      <c r="A534" s="224" t="s">
        <v>2256</v>
      </c>
      <c r="B534" s="199" t="s">
        <v>2257</v>
      </c>
      <c r="C534" s="207" t="s">
        <v>273</v>
      </c>
      <c r="D534" s="200">
        <v>2.677</v>
      </c>
      <c r="E534" s="210"/>
      <c r="F534" s="200"/>
      <c r="G534" s="210"/>
      <c r="H534" s="200"/>
      <c r="I534" s="210"/>
      <c r="J534" s="212" t="s">
        <v>2185</v>
      </c>
    </row>
    <row r="535" spans="1:10" x14ac:dyDescent="0.3">
      <c r="A535" s="224" t="s">
        <v>2258</v>
      </c>
      <c r="B535" s="199" t="s">
        <v>2259</v>
      </c>
      <c r="C535" s="207" t="s">
        <v>273</v>
      </c>
      <c r="D535" s="200">
        <v>7.13</v>
      </c>
      <c r="E535" s="210"/>
      <c r="F535" s="200"/>
      <c r="G535" s="210"/>
      <c r="H535" s="200"/>
      <c r="I535" s="210"/>
      <c r="J535" s="212" t="s">
        <v>2185</v>
      </c>
    </row>
    <row r="536" spans="1:10" x14ac:dyDescent="0.3">
      <c r="A536" s="223" t="s">
        <v>1188</v>
      </c>
      <c r="B536" s="199" t="s">
        <v>1189</v>
      </c>
      <c r="C536" s="198" t="s">
        <v>257</v>
      </c>
      <c r="D536" s="200">
        <v>245.96100000000001</v>
      </c>
      <c r="E536" s="201"/>
      <c r="F536" s="202"/>
      <c r="G536" s="201"/>
      <c r="H536" s="202"/>
      <c r="I536" s="203"/>
      <c r="J536" s="204"/>
    </row>
    <row r="537" spans="1:10" x14ac:dyDescent="0.3">
      <c r="A537" s="223" t="s">
        <v>1190</v>
      </c>
      <c r="B537" s="199" t="s">
        <v>1191</v>
      </c>
      <c r="C537" s="198" t="s">
        <v>199</v>
      </c>
      <c r="D537" s="200">
        <v>70.353999999999999</v>
      </c>
      <c r="E537" s="201"/>
      <c r="F537" s="202"/>
      <c r="G537" s="201"/>
      <c r="H537" s="202"/>
      <c r="I537" s="203"/>
      <c r="J537" s="204"/>
    </row>
    <row r="538" spans="1:10" x14ac:dyDescent="0.3">
      <c r="A538" s="223" t="s">
        <v>1192</v>
      </c>
      <c r="B538" s="199" t="s">
        <v>1193</v>
      </c>
      <c r="C538" s="198" t="s">
        <v>199</v>
      </c>
      <c r="D538" s="200">
        <v>1.6919999999999999</v>
      </c>
      <c r="E538" s="201"/>
      <c r="F538" s="202"/>
      <c r="G538" s="201"/>
      <c r="H538" s="202"/>
      <c r="I538" s="203"/>
      <c r="J538" s="204"/>
    </row>
    <row r="539" spans="1:10" x14ac:dyDescent="0.3">
      <c r="A539" s="223" t="s">
        <v>2025</v>
      </c>
      <c r="B539" s="199" t="s">
        <v>2026</v>
      </c>
      <c r="C539" s="198" t="s">
        <v>688</v>
      </c>
      <c r="D539" s="200">
        <v>19.003</v>
      </c>
      <c r="E539" s="201"/>
      <c r="F539" s="202"/>
      <c r="G539" s="201"/>
      <c r="H539" s="202"/>
      <c r="I539" s="203"/>
      <c r="J539" s="204"/>
    </row>
    <row r="540" spans="1:10" x14ac:dyDescent="0.3">
      <c r="A540" s="223" t="s">
        <v>1194</v>
      </c>
      <c r="B540" s="199" t="s">
        <v>1195</v>
      </c>
      <c r="C540" s="198" t="s">
        <v>198</v>
      </c>
      <c r="D540" s="200">
        <v>23.036999999999999</v>
      </c>
      <c r="E540" s="201"/>
      <c r="F540" s="202"/>
      <c r="G540" s="201"/>
      <c r="H540" s="202"/>
      <c r="I540" s="203"/>
      <c r="J540" s="204"/>
    </row>
    <row r="541" spans="1:10" x14ac:dyDescent="0.3">
      <c r="A541" s="223" t="s">
        <v>1196</v>
      </c>
      <c r="B541" s="199" t="s">
        <v>1197</v>
      </c>
      <c r="C541" s="198" t="s">
        <v>257</v>
      </c>
      <c r="D541" s="200">
        <v>22.131</v>
      </c>
      <c r="E541" s="201"/>
      <c r="F541" s="202"/>
      <c r="G541" s="201"/>
      <c r="H541" s="202"/>
      <c r="I541" s="203"/>
      <c r="J541" s="204"/>
    </row>
    <row r="542" spans="1:10" x14ac:dyDescent="0.3">
      <c r="A542" s="223" t="s">
        <v>2260</v>
      </c>
      <c r="B542" s="199" t="s">
        <v>2261</v>
      </c>
      <c r="C542" s="198" t="s">
        <v>200</v>
      </c>
      <c r="D542" s="200">
        <v>3.5739999999999998</v>
      </c>
      <c r="E542" s="201"/>
      <c r="F542" s="202"/>
      <c r="G542" s="201"/>
      <c r="H542" s="202"/>
      <c r="I542" s="203"/>
      <c r="J542" s="204"/>
    </row>
    <row r="543" spans="1:10" x14ac:dyDescent="0.3">
      <c r="A543" s="223" t="s">
        <v>1198</v>
      </c>
      <c r="B543" s="199" t="s">
        <v>1199</v>
      </c>
      <c r="C543" s="198" t="s">
        <v>257</v>
      </c>
      <c r="D543" s="200">
        <v>1.02</v>
      </c>
      <c r="E543" s="201"/>
      <c r="F543" s="202"/>
      <c r="G543" s="201"/>
      <c r="H543" s="202"/>
      <c r="I543" s="203"/>
      <c r="J543" s="204"/>
    </row>
    <row r="544" spans="1:10" x14ac:dyDescent="0.3">
      <c r="A544" s="224" t="s">
        <v>2262</v>
      </c>
      <c r="B544" s="199" t="s">
        <v>2263</v>
      </c>
      <c r="C544" s="207" t="s">
        <v>2264</v>
      </c>
      <c r="D544" s="200">
        <v>70.760000000000005</v>
      </c>
      <c r="E544" s="210"/>
      <c r="F544" s="200"/>
      <c r="G544" s="210"/>
      <c r="H544" s="200"/>
      <c r="I544" s="210"/>
      <c r="J544" s="212" t="s">
        <v>2185</v>
      </c>
    </row>
    <row r="545" spans="1:10" x14ac:dyDescent="0.3">
      <c r="A545" s="223" t="s">
        <v>1592</v>
      </c>
      <c r="B545" s="199" t="s">
        <v>1593</v>
      </c>
      <c r="C545" s="198" t="s">
        <v>198</v>
      </c>
      <c r="D545" s="200">
        <v>27.231000000000002</v>
      </c>
      <c r="E545" s="201"/>
      <c r="F545" s="202"/>
      <c r="G545" s="201"/>
      <c r="H545" s="202"/>
      <c r="I545" s="203"/>
      <c r="J545" s="204"/>
    </row>
    <row r="546" spans="1:10" x14ac:dyDescent="0.3">
      <c r="A546" s="223" t="s">
        <v>1200</v>
      </c>
      <c r="B546" s="199" t="s">
        <v>1201</v>
      </c>
      <c r="C546" s="198" t="s">
        <v>396</v>
      </c>
      <c r="D546" s="200">
        <v>604.79200000000003</v>
      </c>
      <c r="E546" s="201"/>
      <c r="F546" s="202"/>
      <c r="G546" s="201"/>
      <c r="H546" s="202"/>
      <c r="I546" s="203"/>
      <c r="J546" s="204"/>
    </row>
    <row r="547" spans="1:10" x14ac:dyDescent="0.3">
      <c r="A547" s="223" t="s">
        <v>1202</v>
      </c>
      <c r="B547" s="199" t="s">
        <v>1203</v>
      </c>
      <c r="C547" s="198" t="s">
        <v>257</v>
      </c>
      <c r="D547" s="200">
        <v>4.2350000000000003</v>
      </c>
      <c r="E547" s="201"/>
      <c r="F547" s="202"/>
      <c r="G547" s="201"/>
      <c r="H547" s="202"/>
      <c r="I547" s="203"/>
      <c r="J547" s="204"/>
    </row>
    <row r="548" spans="1:10" x14ac:dyDescent="0.3">
      <c r="A548" s="223" t="s">
        <v>1960</v>
      </c>
      <c r="B548" s="199" t="s">
        <v>1961</v>
      </c>
      <c r="C548" s="198" t="s">
        <v>199</v>
      </c>
      <c r="D548" s="200">
        <v>46.786999999999999</v>
      </c>
      <c r="E548" s="201"/>
      <c r="F548" s="202"/>
      <c r="G548" s="201"/>
      <c r="H548" s="202"/>
      <c r="I548" s="203"/>
      <c r="J548" s="204"/>
    </row>
    <row r="549" spans="1:10" x14ac:dyDescent="0.3">
      <c r="A549" s="223" t="s">
        <v>1204</v>
      </c>
      <c r="B549" s="199" t="s">
        <v>1205</v>
      </c>
      <c r="C549" s="198" t="s">
        <v>199</v>
      </c>
      <c r="D549" s="200">
        <v>58.923999999999999</v>
      </c>
      <c r="E549" s="201"/>
      <c r="F549" s="202"/>
      <c r="G549" s="201"/>
      <c r="H549" s="202"/>
      <c r="I549" s="203"/>
      <c r="J549" s="204"/>
    </row>
    <row r="550" spans="1:10" x14ac:dyDescent="0.3">
      <c r="A550" s="223" t="s">
        <v>1206</v>
      </c>
      <c r="B550" s="199" t="s">
        <v>1207</v>
      </c>
      <c r="C550" s="198" t="s">
        <v>199</v>
      </c>
      <c r="D550" s="200">
        <v>41.643999999999998</v>
      </c>
      <c r="E550" s="201"/>
      <c r="F550" s="202"/>
      <c r="G550" s="201"/>
      <c r="H550" s="202"/>
      <c r="I550" s="203"/>
      <c r="J550" s="204"/>
    </row>
    <row r="551" spans="1:10" x14ac:dyDescent="0.3">
      <c r="A551" s="224" t="s">
        <v>1208</v>
      </c>
      <c r="B551" s="199" t="s">
        <v>1209</v>
      </c>
      <c r="C551" s="207" t="s">
        <v>1210</v>
      </c>
      <c r="D551" s="200">
        <v>219.05699999999999</v>
      </c>
      <c r="E551" s="210"/>
      <c r="F551" s="200"/>
      <c r="G551" s="210"/>
      <c r="H551" s="200"/>
      <c r="I551" s="210"/>
      <c r="J551" s="211"/>
    </row>
    <row r="552" spans="1:10" x14ac:dyDescent="0.3">
      <c r="A552" s="225" t="s">
        <v>1211</v>
      </c>
      <c r="B552" s="199" t="s">
        <v>1212</v>
      </c>
      <c r="C552" s="198" t="s">
        <v>198</v>
      </c>
      <c r="D552" s="200">
        <v>4.1239999999999997</v>
      </c>
      <c r="E552" s="201"/>
      <c r="F552" s="200"/>
      <c r="G552" s="201"/>
      <c r="H552" s="200"/>
      <c r="I552" s="203"/>
      <c r="J552" s="204"/>
    </row>
    <row r="553" spans="1:10" x14ac:dyDescent="0.3">
      <c r="A553" s="223" t="s">
        <v>192</v>
      </c>
      <c r="B553" s="199" t="s">
        <v>1213</v>
      </c>
      <c r="C553" s="198" t="s">
        <v>198</v>
      </c>
      <c r="D553" s="200">
        <v>0.57699999999999996</v>
      </c>
      <c r="E553" s="201"/>
      <c r="F553" s="202"/>
      <c r="G553" s="201"/>
      <c r="H553" s="202"/>
      <c r="I553" s="203"/>
      <c r="J553" s="204"/>
    </row>
    <row r="554" spans="1:10" x14ac:dyDescent="0.3">
      <c r="A554" s="223" t="s">
        <v>1214</v>
      </c>
      <c r="B554" s="199" t="s">
        <v>1215</v>
      </c>
      <c r="C554" s="198" t="s">
        <v>199</v>
      </c>
      <c r="D554" s="200">
        <v>78.903000000000006</v>
      </c>
      <c r="E554" s="201"/>
      <c r="F554" s="202"/>
      <c r="G554" s="201"/>
      <c r="H554" s="202"/>
      <c r="I554" s="203"/>
      <c r="J554" s="204"/>
    </row>
    <row r="555" spans="1:10" x14ac:dyDescent="0.3">
      <c r="A555" s="223" t="s">
        <v>1216</v>
      </c>
      <c r="B555" s="199" t="s">
        <v>1217</v>
      </c>
      <c r="C555" s="198" t="s">
        <v>198</v>
      </c>
      <c r="D555" s="200">
        <v>7.0609999999999999</v>
      </c>
      <c r="E555" s="201"/>
      <c r="F555" s="202"/>
      <c r="G555" s="201"/>
      <c r="H555" s="202"/>
      <c r="I555" s="203"/>
      <c r="J555" s="204"/>
    </row>
    <row r="556" spans="1:10" x14ac:dyDescent="0.3">
      <c r="A556" s="223" t="s">
        <v>1631</v>
      </c>
      <c r="B556" s="199" t="s">
        <v>1632</v>
      </c>
      <c r="C556" s="198" t="s">
        <v>458</v>
      </c>
      <c r="D556" s="200">
        <v>32.57</v>
      </c>
      <c r="E556" s="201"/>
      <c r="F556" s="202"/>
      <c r="G556" s="201"/>
      <c r="H556" s="202"/>
      <c r="I556" s="203"/>
      <c r="J556" s="204"/>
    </row>
    <row r="557" spans="1:10" x14ac:dyDescent="0.3">
      <c r="A557" s="223" t="s">
        <v>195</v>
      </c>
      <c r="B557" s="199" t="s">
        <v>1218</v>
      </c>
      <c r="C557" s="198" t="s">
        <v>688</v>
      </c>
      <c r="D557" s="200">
        <v>1.357</v>
      </c>
      <c r="E557" s="201"/>
      <c r="F557" s="202"/>
      <c r="G557" s="201"/>
      <c r="H557" s="202"/>
      <c r="I557" s="203"/>
      <c r="J557" s="204"/>
    </row>
    <row r="558" spans="1:10" x14ac:dyDescent="0.3">
      <c r="A558" s="223" t="s">
        <v>1219</v>
      </c>
      <c r="B558" s="199" t="s">
        <v>1220</v>
      </c>
      <c r="C558" s="198" t="s">
        <v>273</v>
      </c>
      <c r="D558" s="200">
        <v>126.626</v>
      </c>
      <c r="E558" s="201"/>
      <c r="F558" s="202"/>
      <c r="G558" s="201"/>
      <c r="H558" s="202"/>
      <c r="I558" s="203"/>
      <c r="J558" s="204"/>
    </row>
    <row r="559" spans="1:10" x14ac:dyDescent="0.3">
      <c r="A559" s="223" t="s">
        <v>1221</v>
      </c>
      <c r="B559" s="199" t="s">
        <v>1222</v>
      </c>
      <c r="C559" s="198" t="s">
        <v>199</v>
      </c>
      <c r="D559" s="200">
        <v>0.89400000000000002</v>
      </c>
      <c r="E559" s="201"/>
      <c r="F559" s="202"/>
      <c r="G559" s="201"/>
      <c r="H559" s="202"/>
      <c r="I559" s="203"/>
      <c r="J559" s="204"/>
    </row>
    <row r="560" spans="1:10" x14ac:dyDescent="0.3">
      <c r="A560" s="223" t="s">
        <v>1223</v>
      </c>
      <c r="B560" s="199" t="s">
        <v>1224</v>
      </c>
      <c r="C560" s="198" t="s">
        <v>209</v>
      </c>
      <c r="D560" s="200">
        <v>105.6</v>
      </c>
      <c r="E560" s="201"/>
      <c r="F560" s="202"/>
      <c r="G560" s="201"/>
      <c r="H560" s="202"/>
      <c r="I560" s="203"/>
      <c r="J560" s="204"/>
    </row>
    <row r="561" spans="1:10" x14ac:dyDescent="0.3">
      <c r="A561" s="223" t="s">
        <v>1225</v>
      </c>
      <c r="B561" s="199" t="s">
        <v>1226</v>
      </c>
      <c r="C561" s="198" t="s">
        <v>284</v>
      </c>
      <c r="D561" s="200">
        <v>2.516</v>
      </c>
      <c r="E561" s="201"/>
      <c r="F561" s="202"/>
      <c r="G561" s="201"/>
      <c r="H561" s="202"/>
      <c r="I561" s="203"/>
      <c r="J561" s="204"/>
    </row>
    <row r="562" spans="1:10" x14ac:dyDescent="0.3">
      <c r="A562" s="223" t="s">
        <v>1990</v>
      </c>
      <c r="B562" s="199" t="s">
        <v>1991</v>
      </c>
      <c r="C562" s="198" t="s">
        <v>257</v>
      </c>
      <c r="D562" s="200">
        <v>27.29</v>
      </c>
      <c r="E562" s="201"/>
      <c r="F562" s="202"/>
      <c r="G562" s="201"/>
      <c r="H562" s="202"/>
      <c r="I562" s="203"/>
      <c r="J562" s="204"/>
    </row>
    <row r="563" spans="1:10" x14ac:dyDescent="0.3">
      <c r="A563" s="223" t="s">
        <v>1227</v>
      </c>
      <c r="B563" s="199" t="s">
        <v>1228</v>
      </c>
      <c r="C563" s="198" t="s">
        <v>284</v>
      </c>
      <c r="D563" s="200">
        <v>2890.1680000000001</v>
      </c>
      <c r="E563" s="201"/>
      <c r="F563" s="202"/>
      <c r="G563" s="201"/>
      <c r="H563" s="202"/>
      <c r="I563" s="203"/>
      <c r="J563" s="204"/>
    </row>
    <row r="564" spans="1:10" x14ac:dyDescent="0.3">
      <c r="A564" s="223" t="s">
        <v>1229</v>
      </c>
      <c r="B564" s="199" t="s">
        <v>1594</v>
      </c>
      <c r="C564" s="198" t="s">
        <v>442</v>
      </c>
      <c r="D564" s="200">
        <v>3.5019999999999998</v>
      </c>
      <c r="E564" s="201"/>
      <c r="F564" s="202"/>
      <c r="G564" s="201"/>
      <c r="H564" s="202"/>
      <c r="I564" s="203"/>
      <c r="J564" s="204"/>
    </row>
    <row r="565" spans="1:10" x14ac:dyDescent="0.3">
      <c r="A565" s="223" t="s">
        <v>1231</v>
      </c>
      <c r="B565" s="199" t="s">
        <v>1232</v>
      </c>
      <c r="C565" s="198" t="s">
        <v>1233</v>
      </c>
      <c r="D565" s="200">
        <v>567.92899999999997</v>
      </c>
      <c r="E565" s="201"/>
      <c r="F565" s="202"/>
      <c r="G565" s="201"/>
      <c r="H565" s="202"/>
      <c r="I565" s="203"/>
      <c r="J565" s="204"/>
    </row>
    <row r="566" spans="1:10" x14ac:dyDescent="0.3">
      <c r="A566" s="223" t="s">
        <v>1529</v>
      </c>
      <c r="B566" s="199" t="s">
        <v>1595</v>
      </c>
      <c r="C566" s="198" t="s">
        <v>273</v>
      </c>
      <c r="D566" s="200">
        <v>217.43199999999999</v>
      </c>
      <c r="E566" s="201"/>
      <c r="F566" s="202"/>
      <c r="G566" s="201"/>
      <c r="H566" s="202"/>
      <c r="I566" s="203"/>
      <c r="J566" s="204"/>
    </row>
    <row r="567" spans="1:10" x14ac:dyDescent="0.3">
      <c r="A567" s="223" t="s">
        <v>1596</v>
      </c>
      <c r="B567" s="199" t="s">
        <v>1597</v>
      </c>
      <c r="C567" s="198" t="s">
        <v>198</v>
      </c>
      <c r="D567" s="200">
        <v>217.572</v>
      </c>
      <c r="E567" s="201"/>
      <c r="F567" s="202"/>
      <c r="G567" s="201"/>
      <c r="H567" s="202"/>
      <c r="I567" s="203"/>
      <c r="J567" s="204"/>
    </row>
    <row r="568" spans="1:10" x14ac:dyDescent="0.3">
      <c r="A568" s="223" t="s">
        <v>1234</v>
      </c>
      <c r="B568" s="199" t="s">
        <v>1235</v>
      </c>
      <c r="C568" s="198" t="s">
        <v>198</v>
      </c>
      <c r="D568" s="200">
        <v>60.061999999999998</v>
      </c>
      <c r="E568" s="201"/>
      <c r="F568" s="202"/>
      <c r="G568" s="201"/>
      <c r="H568" s="202"/>
      <c r="I568" s="203"/>
      <c r="J568" s="204"/>
    </row>
    <row r="569" spans="1:10" x14ac:dyDescent="0.3">
      <c r="A569" s="223" t="s">
        <v>1236</v>
      </c>
      <c r="B569" s="199" t="s">
        <v>1237</v>
      </c>
      <c r="C569" s="198" t="s">
        <v>311</v>
      </c>
      <c r="D569" s="200">
        <v>2.4279999999999999</v>
      </c>
      <c r="E569" s="201"/>
      <c r="F569" s="202"/>
      <c r="G569" s="201"/>
      <c r="H569" s="202"/>
      <c r="I569" s="203"/>
      <c r="J569" s="204"/>
    </row>
    <row r="570" spans="1:10" x14ac:dyDescent="0.3">
      <c r="A570" s="223" t="s">
        <v>1238</v>
      </c>
      <c r="B570" s="199" t="s">
        <v>1239</v>
      </c>
      <c r="C570" s="198" t="s">
        <v>198</v>
      </c>
      <c r="D570" s="200">
        <v>118.648</v>
      </c>
      <c r="E570" s="201"/>
      <c r="F570" s="202"/>
      <c r="G570" s="201"/>
      <c r="H570" s="202"/>
      <c r="I570" s="203"/>
      <c r="J570" s="204"/>
    </row>
    <row r="571" spans="1:10" x14ac:dyDescent="0.3">
      <c r="A571" s="223" t="s">
        <v>1240</v>
      </c>
      <c r="B571" s="199" t="s">
        <v>1241</v>
      </c>
      <c r="C571" s="198" t="s">
        <v>405</v>
      </c>
      <c r="D571" s="200">
        <v>25.654</v>
      </c>
      <c r="E571" s="201"/>
      <c r="F571" s="202"/>
      <c r="G571" s="201"/>
      <c r="H571" s="202"/>
      <c r="I571" s="203"/>
      <c r="J571" s="204"/>
    </row>
    <row r="572" spans="1:10" x14ac:dyDescent="0.3">
      <c r="A572" s="223" t="s">
        <v>1242</v>
      </c>
      <c r="B572" s="199" t="s">
        <v>1243</v>
      </c>
      <c r="C572" s="198" t="s">
        <v>442</v>
      </c>
      <c r="D572" s="200">
        <v>1.718</v>
      </c>
      <c r="E572" s="201"/>
      <c r="F572" s="202"/>
      <c r="G572" s="201"/>
      <c r="H572" s="202"/>
      <c r="I572" s="203"/>
      <c r="J572" s="204"/>
    </row>
    <row r="573" spans="1:10" x14ac:dyDescent="0.3">
      <c r="A573" s="223" t="s">
        <v>1962</v>
      </c>
      <c r="B573" s="199" t="s">
        <v>1963</v>
      </c>
      <c r="C573" s="198" t="s">
        <v>198</v>
      </c>
      <c r="D573" s="200">
        <v>391.315</v>
      </c>
      <c r="E573" s="201"/>
      <c r="F573" s="202"/>
      <c r="G573" s="201"/>
      <c r="H573" s="202"/>
      <c r="I573" s="203"/>
      <c r="J573" s="204"/>
    </row>
    <row r="574" spans="1:10" x14ac:dyDescent="0.3">
      <c r="A574" s="223" t="s">
        <v>1244</v>
      </c>
      <c r="B574" s="199" t="s">
        <v>1245</v>
      </c>
      <c r="C574" s="198" t="s">
        <v>200</v>
      </c>
      <c r="D574" s="200">
        <v>40.432000000000002</v>
      </c>
      <c r="E574" s="201"/>
      <c r="F574" s="202"/>
      <c r="G574" s="201"/>
      <c r="H574" s="202"/>
      <c r="I574" s="203"/>
      <c r="J574" s="204"/>
    </row>
    <row r="575" spans="1:10" x14ac:dyDescent="0.3">
      <c r="A575" s="223" t="s">
        <v>1246</v>
      </c>
      <c r="B575" s="199" t="s">
        <v>1247</v>
      </c>
      <c r="C575" s="198" t="s">
        <v>1248</v>
      </c>
      <c r="D575" s="200">
        <v>32.573999999999998</v>
      </c>
      <c r="E575" s="201"/>
      <c r="F575" s="202"/>
      <c r="G575" s="201"/>
      <c r="H575" s="202"/>
      <c r="I575" s="203"/>
      <c r="J575" s="204"/>
    </row>
    <row r="576" spans="1:10" x14ac:dyDescent="0.3">
      <c r="A576" s="223" t="s">
        <v>1249</v>
      </c>
      <c r="B576" s="199" t="s">
        <v>1250</v>
      </c>
      <c r="C576" s="198" t="s">
        <v>1251</v>
      </c>
      <c r="D576" s="200">
        <v>188.33099999999999</v>
      </c>
      <c r="E576" s="201"/>
      <c r="F576" s="202"/>
      <c r="G576" s="201"/>
      <c r="H576" s="202"/>
      <c r="I576" s="203"/>
      <c r="J576" s="204"/>
    </row>
    <row r="577" spans="1:10" x14ac:dyDescent="0.3">
      <c r="A577" s="223" t="s">
        <v>1252</v>
      </c>
      <c r="B577" s="199" t="s">
        <v>1253</v>
      </c>
      <c r="C577" s="198" t="s">
        <v>198</v>
      </c>
      <c r="D577" s="200">
        <v>12.598000000000001</v>
      </c>
      <c r="E577" s="201"/>
      <c r="F577" s="202"/>
      <c r="G577" s="201"/>
      <c r="H577" s="202"/>
      <c r="I577" s="203"/>
      <c r="J577" s="204"/>
    </row>
    <row r="578" spans="1:10" x14ac:dyDescent="0.3">
      <c r="A578" s="223" t="s">
        <v>1992</v>
      </c>
      <c r="B578" s="199" t="s">
        <v>1993</v>
      </c>
      <c r="C578" s="198" t="s">
        <v>273</v>
      </c>
      <c r="D578" s="200">
        <v>185.98099999999999</v>
      </c>
      <c r="E578" s="201"/>
      <c r="F578" s="202"/>
      <c r="G578" s="201"/>
      <c r="H578" s="202"/>
      <c r="I578" s="203"/>
      <c r="J578" s="204"/>
    </row>
    <row r="579" spans="1:10" x14ac:dyDescent="0.3">
      <c r="A579" s="223" t="s">
        <v>1256</v>
      </c>
      <c r="B579" s="199" t="s">
        <v>1257</v>
      </c>
      <c r="C579" s="198" t="s">
        <v>209</v>
      </c>
      <c r="D579" s="200">
        <v>43324.603000000003</v>
      </c>
      <c r="E579" s="201"/>
      <c r="F579" s="202"/>
      <c r="G579" s="201"/>
      <c r="H579" s="202"/>
      <c r="I579" s="203"/>
      <c r="J579" s="204"/>
    </row>
    <row r="580" spans="1:10" x14ac:dyDescent="0.3">
      <c r="A580" s="223" t="s">
        <v>1964</v>
      </c>
      <c r="B580" s="199" t="s">
        <v>1965</v>
      </c>
      <c r="C580" s="198" t="s">
        <v>199</v>
      </c>
      <c r="D580" s="200">
        <v>71.947999999999993</v>
      </c>
      <c r="E580" s="201"/>
      <c r="F580" s="202"/>
      <c r="G580" s="201"/>
      <c r="H580" s="202"/>
      <c r="I580" s="203"/>
      <c r="J580" s="204"/>
    </row>
    <row r="581" spans="1:10" x14ac:dyDescent="0.3">
      <c r="A581" s="223" t="s">
        <v>1258</v>
      </c>
      <c r="B581" s="199" t="s">
        <v>1259</v>
      </c>
      <c r="C581" s="198" t="s">
        <v>198</v>
      </c>
      <c r="D581" s="200">
        <v>165.76900000000001</v>
      </c>
      <c r="E581" s="201"/>
      <c r="F581" s="202"/>
      <c r="G581" s="201"/>
      <c r="H581" s="202"/>
      <c r="I581" s="203"/>
      <c r="J581" s="204"/>
    </row>
    <row r="582" spans="1:10" x14ac:dyDescent="0.3">
      <c r="A582" s="223" t="s">
        <v>1598</v>
      </c>
      <c r="B582" s="199" t="s">
        <v>1599</v>
      </c>
      <c r="C582" s="198" t="s">
        <v>273</v>
      </c>
      <c r="D582" s="200">
        <v>2477.6239999999998</v>
      </c>
      <c r="E582" s="201"/>
      <c r="F582" s="202"/>
      <c r="G582" s="201"/>
      <c r="H582" s="202"/>
      <c r="I582" s="203"/>
      <c r="J582" s="204"/>
    </row>
    <row r="583" spans="1:10" x14ac:dyDescent="0.3">
      <c r="A583" s="223" t="s">
        <v>1260</v>
      </c>
      <c r="B583" s="199" t="s">
        <v>1966</v>
      </c>
      <c r="C583" s="198" t="s">
        <v>209</v>
      </c>
      <c r="D583" s="200">
        <v>220.661</v>
      </c>
      <c r="E583" s="201"/>
      <c r="F583" s="202"/>
      <c r="G583" s="201"/>
      <c r="H583" s="202"/>
      <c r="I583" s="203"/>
      <c r="J583" s="204"/>
    </row>
    <row r="584" spans="1:10" x14ac:dyDescent="0.3">
      <c r="A584" s="224" t="s">
        <v>2265</v>
      </c>
      <c r="B584" s="199" t="s">
        <v>2266</v>
      </c>
      <c r="C584" s="207" t="s">
        <v>198</v>
      </c>
      <c r="D584" s="200">
        <v>16.044</v>
      </c>
      <c r="E584" s="210"/>
      <c r="F584" s="200"/>
      <c r="G584" s="210"/>
      <c r="H584" s="200"/>
      <c r="I584" s="210"/>
      <c r="J584" s="212" t="s">
        <v>2185</v>
      </c>
    </row>
    <row r="585" spans="1:10" x14ac:dyDescent="0.3">
      <c r="A585" s="223" t="s">
        <v>193</v>
      </c>
      <c r="B585" s="199" t="s">
        <v>1262</v>
      </c>
      <c r="C585" s="198" t="s">
        <v>200</v>
      </c>
      <c r="D585" s="200">
        <v>0.219</v>
      </c>
      <c r="E585" s="201"/>
      <c r="F585" s="202"/>
      <c r="G585" s="201"/>
      <c r="H585" s="202"/>
      <c r="I585" s="203"/>
      <c r="J585" s="204"/>
    </row>
    <row r="586" spans="1:10" x14ac:dyDescent="0.3">
      <c r="A586" s="223" t="s">
        <v>1263</v>
      </c>
      <c r="B586" s="199" t="s">
        <v>1262</v>
      </c>
      <c r="C586" s="198" t="s">
        <v>209</v>
      </c>
      <c r="D586" s="200">
        <v>2.1909999999999998</v>
      </c>
      <c r="E586" s="201"/>
      <c r="F586" s="202"/>
      <c r="G586" s="201"/>
      <c r="H586" s="202"/>
      <c r="I586" s="203"/>
      <c r="J586" s="204"/>
    </row>
    <row r="587" spans="1:10" x14ac:dyDescent="0.3">
      <c r="A587" s="223" t="s">
        <v>1264</v>
      </c>
      <c r="B587" s="199" t="s">
        <v>1265</v>
      </c>
      <c r="C587" s="198" t="s">
        <v>209</v>
      </c>
      <c r="D587" s="200">
        <v>135.28299999999999</v>
      </c>
      <c r="E587" s="201"/>
      <c r="F587" s="202"/>
      <c r="G587" s="201"/>
      <c r="H587" s="202"/>
      <c r="I587" s="203"/>
      <c r="J587" s="204"/>
    </row>
    <row r="588" spans="1:10" x14ac:dyDescent="0.3">
      <c r="A588" s="223" t="s">
        <v>1266</v>
      </c>
      <c r="B588" s="199" t="s">
        <v>1267</v>
      </c>
      <c r="C588" s="198" t="s">
        <v>318</v>
      </c>
      <c r="D588" s="200">
        <v>3.6480000000000001</v>
      </c>
      <c r="E588" s="201"/>
      <c r="F588" s="202"/>
      <c r="G588" s="201"/>
      <c r="H588" s="202"/>
      <c r="I588" s="203"/>
      <c r="J588" s="203"/>
    </row>
    <row r="589" spans="1:10" x14ac:dyDescent="0.3">
      <c r="A589" s="223" t="s">
        <v>1268</v>
      </c>
      <c r="B589" s="199" t="s">
        <v>1269</v>
      </c>
      <c r="C589" s="198" t="s">
        <v>396</v>
      </c>
      <c r="D589" s="200">
        <v>7.6999999999999999E-2</v>
      </c>
      <c r="E589" s="201"/>
      <c r="F589" s="202"/>
      <c r="G589" s="201"/>
      <c r="H589" s="202"/>
      <c r="I589" s="203"/>
      <c r="J589" s="204"/>
    </row>
    <row r="590" spans="1:10" x14ac:dyDescent="0.3">
      <c r="A590" s="223" t="s">
        <v>1270</v>
      </c>
      <c r="B590" s="199" t="s">
        <v>1271</v>
      </c>
      <c r="C590" s="198" t="s">
        <v>198</v>
      </c>
      <c r="D590" s="200">
        <v>11.975</v>
      </c>
      <c r="E590" s="201"/>
      <c r="F590" s="202"/>
      <c r="G590" s="201"/>
      <c r="H590" s="202"/>
      <c r="I590" s="203"/>
      <c r="J590" s="204"/>
    </row>
    <row r="591" spans="1:10" x14ac:dyDescent="0.3">
      <c r="A591" s="223" t="s">
        <v>1272</v>
      </c>
      <c r="B591" s="199" t="s">
        <v>1273</v>
      </c>
      <c r="C591" s="198" t="s">
        <v>1274</v>
      </c>
      <c r="D591" s="200">
        <v>23577.008000000002</v>
      </c>
      <c r="E591" s="201"/>
      <c r="F591" s="202"/>
      <c r="G591" s="201"/>
      <c r="H591" s="202"/>
      <c r="I591" s="203"/>
      <c r="J591" s="204"/>
    </row>
    <row r="592" spans="1:10" x14ac:dyDescent="0.3">
      <c r="A592" s="223" t="s">
        <v>1275</v>
      </c>
      <c r="B592" s="199" t="s">
        <v>1276</v>
      </c>
      <c r="C592" s="198" t="s">
        <v>198</v>
      </c>
      <c r="D592" s="200">
        <v>0.115</v>
      </c>
      <c r="E592" s="201"/>
      <c r="F592" s="202"/>
      <c r="G592" s="201"/>
      <c r="H592" s="202"/>
      <c r="I592" s="203"/>
      <c r="J592" s="204"/>
    </row>
    <row r="593" spans="1:10" x14ac:dyDescent="0.3">
      <c r="A593" s="223" t="s">
        <v>1277</v>
      </c>
      <c r="B593" s="199" t="s">
        <v>1278</v>
      </c>
      <c r="C593" s="198" t="s">
        <v>199</v>
      </c>
      <c r="D593" s="200">
        <v>2320.116</v>
      </c>
      <c r="E593" s="201"/>
      <c r="F593" s="202"/>
      <c r="G593" s="201"/>
      <c r="H593" s="202"/>
      <c r="I593" s="203"/>
      <c r="J593" s="204"/>
    </row>
    <row r="594" spans="1:10" x14ac:dyDescent="0.3">
      <c r="A594" s="223" t="s">
        <v>1967</v>
      </c>
      <c r="B594" s="199" t="s">
        <v>1968</v>
      </c>
      <c r="C594" s="198" t="s">
        <v>834</v>
      </c>
      <c r="D594" s="200">
        <v>319.98700000000002</v>
      </c>
      <c r="E594" s="201"/>
      <c r="F594" s="202"/>
      <c r="G594" s="201"/>
      <c r="H594" s="202"/>
      <c r="I594" s="203"/>
      <c r="J594" s="204"/>
    </row>
    <row r="595" spans="1:10" x14ac:dyDescent="0.3">
      <c r="A595" s="224" t="s">
        <v>1279</v>
      </c>
      <c r="B595" s="199" t="s">
        <v>1280</v>
      </c>
      <c r="C595" s="207" t="s">
        <v>198</v>
      </c>
      <c r="D595" s="200">
        <v>53.914000000000001</v>
      </c>
      <c r="E595" s="201"/>
      <c r="F595" s="202"/>
      <c r="G595" s="201"/>
      <c r="H595" s="202"/>
      <c r="I595" s="203"/>
      <c r="J595" s="204"/>
    </row>
    <row r="596" spans="1:10" x14ac:dyDescent="0.3">
      <c r="A596" s="223" t="s">
        <v>2029</v>
      </c>
      <c r="B596" s="199" t="s">
        <v>2030</v>
      </c>
      <c r="C596" s="198" t="s">
        <v>199</v>
      </c>
      <c r="D596" s="200">
        <v>223.96799999999999</v>
      </c>
      <c r="E596" s="201"/>
      <c r="F596" s="202"/>
      <c r="G596" s="201"/>
      <c r="H596" s="202"/>
      <c r="I596" s="203"/>
      <c r="J596" s="204"/>
    </row>
    <row r="597" spans="1:10" x14ac:dyDescent="0.3">
      <c r="A597" s="223" t="s">
        <v>2124</v>
      </c>
      <c r="B597" s="199" t="s">
        <v>2125</v>
      </c>
      <c r="C597" s="198" t="s">
        <v>198</v>
      </c>
      <c r="D597" s="200">
        <v>155.99700000000001</v>
      </c>
      <c r="E597" s="201"/>
      <c r="F597" s="202"/>
      <c r="G597" s="201"/>
      <c r="H597" s="202"/>
      <c r="I597" s="203"/>
      <c r="J597" s="204"/>
    </row>
    <row r="598" spans="1:10" x14ac:dyDescent="0.3">
      <c r="A598" s="224" t="s">
        <v>2267</v>
      </c>
      <c r="B598" s="199" t="s">
        <v>2268</v>
      </c>
      <c r="C598" s="207" t="s">
        <v>452</v>
      </c>
      <c r="D598" s="200">
        <v>198.85599999999999</v>
      </c>
      <c r="E598" s="210"/>
      <c r="F598" s="200"/>
      <c r="G598" s="210"/>
      <c r="H598" s="200"/>
      <c r="I598" s="210"/>
      <c r="J598" s="212" t="s">
        <v>2185</v>
      </c>
    </row>
    <row r="599" spans="1:10" x14ac:dyDescent="0.3">
      <c r="A599" s="223" t="s">
        <v>1281</v>
      </c>
      <c r="B599" s="199" t="s">
        <v>1282</v>
      </c>
      <c r="C599" s="198" t="s">
        <v>200</v>
      </c>
      <c r="D599" s="200">
        <v>44.47</v>
      </c>
      <c r="E599" s="201"/>
      <c r="F599" s="202"/>
      <c r="G599" s="201"/>
      <c r="H599" s="202"/>
      <c r="I599" s="203"/>
      <c r="J599" s="204"/>
    </row>
    <row r="600" spans="1:10" x14ac:dyDescent="0.3">
      <c r="A600" s="223" t="s">
        <v>1969</v>
      </c>
      <c r="B600" s="199" t="s">
        <v>1970</v>
      </c>
      <c r="C600" s="198" t="s">
        <v>198</v>
      </c>
      <c r="D600" s="200">
        <v>290.30200000000002</v>
      </c>
      <c r="E600" s="201"/>
      <c r="F600" s="202"/>
      <c r="G600" s="201"/>
      <c r="H600" s="202"/>
      <c r="I600" s="203"/>
      <c r="J600" s="204"/>
    </row>
    <row r="601" spans="1:10" x14ac:dyDescent="0.3">
      <c r="A601" s="223" t="s">
        <v>1285</v>
      </c>
      <c r="B601" s="199" t="s">
        <v>1286</v>
      </c>
      <c r="C601" s="198" t="s">
        <v>200</v>
      </c>
      <c r="D601" s="200">
        <v>54.884</v>
      </c>
      <c r="E601" s="201"/>
      <c r="F601" s="202"/>
      <c r="G601" s="201"/>
      <c r="H601" s="202"/>
      <c r="I601" s="203"/>
      <c r="J601" s="204"/>
    </row>
    <row r="602" spans="1:10" x14ac:dyDescent="0.3">
      <c r="A602" s="223" t="s">
        <v>1287</v>
      </c>
      <c r="B602" s="199" t="s">
        <v>1288</v>
      </c>
      <c r="C602" s="207" t="s">
        <v>198</v>
      </c>
      <c r="D602" s="200">
        <v>5.7370000000000001</v>
      </c>
      <c r="E602" s="201"/>
      <c r="F602" s="202"/>
      <c r="G602" s="201"/>
      <c r="H602" s="202"/>
      <c r="I602" s="203"/>
      <c r="J602" s="204"/>
    </row>
    <row r="603" spans="1:10" x14ac:dyDescent="0.3">
      <c r="A603" s="223" t="s">
        <v>2269</v>
      </c>
      <c r="B603" s="199" t="s">
        <v>2270</v>
      </c>
      <c r="C603" s="198" t="s">
        <v>2271</v>
      </c>
      <c r="D603" s="200">
        <v>180.38399999999999</v>
      </c>
      <c r="E603" s="201"/>
      <c r="F603" s="202"/>
      <c r="G603" s="201"/>
      <c r="H603" s="202"/>
      <c r="I603" s="203"/>
      <c r="J603" s="204"/>
    </row>
    <row r="604" spans="1:10" x14ac:dyDescent="0.3">
      <c r="A604" s="224" t="s">
        <v>1289</v>
      </c>
      <c r="B604" s="199" t="s">
        <v>1290</v>
      </c>
      <c r="C604" s="207" t="s">
        <v>198</v>
      </c>
      <c r="D604" s="200">
        <v>30.001000000000001</v>
      </c>
      <c r="E604" s="210"/>
      <c r="F604" s="200"/>
      <c r="G604" s="210"/>
      <c r="H604" s="200"/>
      <c r="I604" s="210"/>
      <c r="J604" s="204"/>
    </row>
    <row r="605" spans="1:10" x14ac:dyDescent="0.3">
      <c r="A605" s="223" t="s">
        <v>1291</v>
      </c>
      <c r="B605" s="199" t="s">
        <v>1292</v>
      </c>
      <c r="C605" s="198" t="s">
        <v>199</v>
      </c>
      <c r="D605" s="200">
        <v>66.947999999999993</v>
      </c>
      <c r="E605" s="201"/>
      <c r="F605" s="202"/>
      <c r="G605" s="201"/>
      <c r="H605" s="202"/>
      <c r="I605" s="203"/>
      <c r="J605" s="204"/>
    </row>
    <row r="606" spans="1:10" x14ac:dyDescent="0.3">
      <c r="A606" s="223" t="s">
        <v>1293</v>
      </c>
      <c r="B606" s="199" t="s">
        <v>1294</v>
      </c>
      <c r="C606" s="198" t="s">
        <v>199</v>
      </c>
      <c r="D606" s="200">
        <v>63.957000000000001</v>
      </c>
      <c r="E606" s="201"/>
      <c r="F606" s="202"/>
      <c r="G606" s="201"/>
      <c r="H606" s="202"/>
      <c r="I606" s="203"/>
      <c r="J606" s="204"/>
    </row>
    <row r="607" spans="1:10" x14ac:dyDescent="0.3">
      <c r="A607" s="223" t="s">
        <v>1295</v>
      </c>
      <c r="B607" s="199" t="s">
        <v>1296</v>
      </c>
      <c r="C607" s="198" t="s">
        <v>199</v>
      </c>
      <c r="D607" s="200">
        <v>143.51</v>
      </c>
      <c r="E607" s="201"/>
      <c r="F607" s="202"/>
      <c r="G607" s="201"/>
      <c r="H607" s="202"/>
      <c r="I607" s="203"/>
      <c r="J607" s="204"/>
    </row>
    <row r="608" spans="1:10" x14ac:dyDescent="0.3">
      <c r="A608" s="223" t="s">
        <v>2272</v>
      </c>
      <c r="B608" s="199" t="s">
        <v>2273</v>
      </c>
      <c r="C608" s="198" t="s">
        <v>199</v>
      </c>
      <c r="D608" s="200">
        <v>81.563000000000002</v>
      </c>
      <c r="E608" s="201"/>
      <c r="F608" s="202"/>
      <c r="G608" s="201"/>
      <c r="H608" s="202"/>
      <c r="I608" s="203"/>
      <c r="J608" s="204"/>
    </row>
    <row r="609" spans="1:10" x14ac:dyDescent="0.3">
      <c r="A609" s="223" t="s">
        <v>1297</v>
      </c>
      <c r="B609" s="199" t="s">
        <v>1971</v>
      </c>
      <c r="C609" s="198" t="s">
        <v>199</v>
      </c>
      <c r="D609" s="200">
        <v>27.681000000000001</v>
      </c>
      <c r="E609" s="201"/>
      <c r="F609" s="202"/>
      <c r="G609" s="201"/>
      <c r="H609" s="202"/>
      <c r="I609" s="203"/>
      <c r="J609" s="204"/>
    </row>
    <row r="610" spans="1:10" x14ac:dyDescent="0.3">
      <c r="A610" s="224" t="s">
        <v>1299</v>
      </c>
      <c r="B610" s="199" t="s">
        <v>1300</v>
      </c>
      <c r="C610" s="207" t="s">
        <v>198</v>
      </c>
      <c r="D610" s="200">
        <v>14.407999999999999</v>
      </c>
      <c r="E610" s="210"/>
      <c r="F610" s="200"/>
      <c r="G610" s="210"/>
      <c r="H610" s="200"/>
      <c r="I610" s="210"/>
      <c r="J610" s="204"/>
    </row>
    <row r="611" spans="1:10" x14ac:dyDescent="0.3">
      <c r="A611" s="223" t="s">
        <v>1301</v>
      </c>
      <c r="B611" s="199" t="s">
        <v>1302</v>
      </c>
      <c r="C611" s="198" t="s">
        <v>198</v>
      </c>
      <c r="D611" s="200">
        <v>339.33199999999999</v>
      </c>
      <c r="E611" s="201"/>
      <c r="F611" s="202"/>
      <c r="G611" s="201"/>
      <c r="H611" s="202"/>
      <c r="I611" s="203"/>
      <c r="J611" s="204"/>
    </row>
    <row r="612" spans="1:10" x14ac:dyDescent="0.3">
      <c r="A612" s="224" t="s">
        <v>1303</v>
      </c>
      <c r="B612" s="199" t="s">
        <v>1304</v>
      </c>
      <c r="C612" s="207" t="s">
        <v>200</v>
      </c>
      <c r="D612" s="200">
        <v>66.863</v>
      </c>
      <c r="E612" s="210"/>
      <c r="F612" s="200"/>
      <c r="G612" s="210"/>
      <c r="H612" s="200"/>
      <c r="I612" s="210"/>
      <c r="J612" s="204"/>
    </row>
    <row r="613" spans="1:10" x14ac:dyDescent="0.3">
      <c r="A613" s="223" t="s">
        <v>1600</v>
      </c>
      <c r="B613" s="199" t="s">
        <v>1601</v>
      </c>
      <c r="C613" s="198" t="s">
        <v>198</v>
      </c>
      <c r="D613" s="200">
        <v>118.114</v>
      </c>
      <c r="E613" s="201"/>
      <c r="F613" s="202"/>
      <c r="G613" s="201"/>
      <c r="H613" s="202"/>
      <c r="I613" s="203"/>
      <c r="J613" s="204"/>
    </row>
    <row r="614" spans="1:10" x14ac:dyDescent="0.3">
      <c r="A614" s="224" t="s">
        <v>1305</v>
      </c>
      <c r="B614" s="199" t="s">
        <v>1306</v>
      </c>
      <c r="C614" s="207" t="s">
        <v>1307</v>
      </c>
      <c r="D614" s="200">
        <v>37.17</v>
      </c>
      <c r="E614" s="210"/>
      <c r="F614" s="200"/>
      <c r="G614" s="210"/>
      <c r="H614" s="200"/>
      <c r="I614" s="210"/>
      <c r="J614" s="211"/>
    </row>
    <row r="615" spans="1:10" x14ac:dyDescent="0.3">
      <c r="A615" s="223" t="s">
        <v>1308</v>
      </c>
      <c r="B615" s="199" t="s">
        <v>1309</v>
      </c>
      <c r="C615" s="198" t="s">
        <v>199</v>
      </c>
      <c r="D615" s="200">
        <v>81.748000000000005</v>
      </c>
      <c r="E615" s="201"/>
      <c r="F615" s="202"/>
      <c r="G615" s="201"/>
      <c r="H615" s="202"/>
      <c r="I615" s="203"/>
      <c r="J615" s="211"/>
    </row>
    <row r="616" spans="1:10" x14ac:dyDescent="0.3">
      <c r="A616" s="223" t="s">
        <v>1972</v>
      </c>
      <c r="B616" s="199" t="s">
        <v>1973</v>
      </c>
      <c r="C616" s="198" t="s">
        <v>318</v>
      </c>
      <c r="D616" s="200">
        <v>23.393999999999998</v>
      </c>
      <c r="E616" s="201"/>
      <c r="F616" s="202"/>
      <c r="G616" s="201"/>
      <c r="H616" s="202"/>
      <c r="I616" s="203"/>
      <c r="J616" s="204"/>
    </row>
    <row r="617" spans="1:10" x14ac:dyDescent="0.3">
      <c r="A617" s="223" t="s">
        <v>1994</v>
      </c>
      <c r="B617" s="199" t="s">
        <v>1995</v>
      </c>
      <c r="C617" s="198" t="s">
        <v>199</v>
      </c>
      <c r="D617" s="200">
        <v>69.061000000000007</v>
      </c>
      <c r="E617" s="201"/>
      <c r="F617" s="202"/>
      <c r="G617" s="201"/>
      <c r="H617" s="202"/>
      <c r="I617" s="203"/>
      <c r="J617" s="204"/>
    </row>
    <row r="618" spans="1:10" x14ac:dyDescent="0.3">
      <c r="A618" s="223" t="s">
        <v>1918</v>
      </c>
      <c r="B618" s="199" t="s">
        <v>1974</v>
      </c>
      <c r="C618" s="198" t="s">
        <v>1134</v>
      </c>
      <c r="D618" s="200">
        <v>32.582000000000001</v>
      </c>
      <c r="E618" s="201"/>
      <c r="F618" s="202"/>
      <c r="G618" s="201"/>
      <c r="H618" s="202"/>
      <c r="I618" s="203"/>
      <c r="J618" s="204"/>
    </row>
    <row r="619" spans="1:10" x14ac:dyDescent="0.3">
      <c r="A619" s="223" t="s">
        <v>2031</v>
      </c>
      <c r="B619" s="199" t="s">
        <v>2032</v>
      </c>
      <c r="C619" s="198" t="s">
        <v>273</v>
      </c>
      <c r="D619" s="200">
        <v>32.156999999999996</v>
      </c>
      <c r="E619" s="201"/>
      <c r="F619" s="202"/>
      <c r="G619" s="201"/>
      <c r="H619" s="202"/>
      <c r="I619" s="203"/>
      <c r="J619" s="204"/>
    </row>
    <row r="620" spans="1:10" x14ac:dyDescent="0.3">
      <c r="A620" s="223" t="s">
        <v>1312</v>
      </c>
      <c r="B620" s="199" t="s">
        <v>1313</v>
      </c>
      <c r="C620" s="198" t="s">
        <v>405</v>
      </c>
      <c r="D620" s="200">
        <v>370.18400000000003</v>
      </c>
      <c r="E620" s="201"/>
      <c r="F620" s="202"/>
      <c r="G620" s="201"/>
      <c r="H620" s="202"/>
      <c r="I620" s="203"/>
      <c r="J620" s="204"/>
    </row>
    <row r="621" spans="1:10" x14ac:dyDescent="0.3">
      <c r="A621" s="223" t="s">
        <v>1314</v>
      </c>
      <c r="B621" s="199" t="s">
        <v>1315</v>
      </c>
      <c r="C621" s="198" t="s">
        <v>1316</v>
      </c>
      <c r="D621" s="200">
        <v>62.677999999999997</v>
      </c>
      <c r="E621" s="201"/>
      <c r="F621" s="202"/>
      <c r="G621" s="201"/>
      <c r="H621" s="202"/>
      <c r="I621" s="203"/>
      <c r="J621" s="204"/>
    </row>
    <row r="622" spans="1:10" x14ac:dyDescent="0.3">
      <c r="A622" s="223" t="s">
        <v>1317</v>
      </c>
      <c r="B622" s="199" t="s">
        <v>1318</v>
      </c>
      <c r="C622" s="198" t="s">
        <v>198</v>
      </c>
      <c r="D622" s="200">
        <v>10.411</v>
      </c>
      <c r="E622" s="201"/>
      <c r="F622" s="202"/>
      <c r="G622" s="201"/>
      <c r="H622" s="202"/>
      <c r="I622" s="203"/>
      <c r="J622" s="204"/>
    </row>
    <row r="623" spans="1:10" x14ac:dyDescent="0.3">
      <c r="A623" s="223" t="s">
        <v>1319</v>
      </c>
      <c r="B623" s="199" t="s">
        <v>1320</v>
      </c>
      <c r="C623" s="198" t="s">
        <v>198</v>
      </c>
      <c r="D623" s="200">
        <v>35.200000000000003</v>
      </c>
      <c r="E623" s="201"/>
      <c r="F623" s="202"/>
      <c r="G623" s="201"/>
      <c r="H623" s="202"/>
      <c r="I623" s="203"/>
      <c r="J623" s="204"/>
    </row>
    <row r="624" spans="1:10" x14ac:dyDescent="0.3">
      <c r="A624" s="224" t="s">
        <v>2274</v>
      </c>
      <c r="B624" s="199" t="s">
        <v>2275</v>
      </c>
      <c r="C624" s="207" t="s">
        <v>198</v>
      </c>
      <c r="D624" s="200">
        <v>104.521</v>
      </c>
      <c r="E624" s="210"/>
      <c r="F624" s="200"/>
      <c r="G624" s="210"/>
      <c r="H624" s="200"/>
      <c r="I624" s="210"/>
      <c r="J624" s="212" t="s">
        <v>2185</v>
      </c>
    </row>
    <row r="625" spans="1:10" x14ac:dyDescent="0.3">
      <c r="A625" s="223" t="s">
        <v>2126</v>
      </c>
      <c r="B625" s="199" t="s">
        <v>2127</v>
      </c>
      <c r="C625" s="198" t="s">
        <v>688</v>
      </c>
      <c r="D625" s="200">
        <v>31.521999999999998</v>
      </c>
      <c r="E625" s="201"/>
      <c r="F625" s="202"/>
      <c r="G625" s="201"/>
      <c r="H625" s="202"/>
      <c r="I625" s="203"/>
      <c r="J625" s="204"/>
    </row>
    <row r="626" spans="1:10" x14ac:dyDescent="0.3">
      <c r="A626" s="223" t="s">
        <v>1321</v>
      </c>
      <c r="B626" s="199" t="s">
        <v>1322</v>
      </c>
      <c r="C626" s="198" t="s">
        <v>659</v>
      </c>
      <c r="D626" s="200">
        <v>318.16899999999998</v>
      </c>
      <c r="E626" s="201"/>
      <c r="F626" s="202"/>
      <c r="G626" s="201"/>
      <c r="H626" s="202"/>
      <c r="I626" s="203"/>
      <c r="J626" s="203"/>
    </row>
    <row r="627" spans="1:10" x14ac:dyDescent="0.3">
      <c r="A627" s="223" t="s">
        <v>1996</v>
      </c>
      <c r="B627" s="199" t="s">
        <v>1997</v>
      </c>
      <c r="C627" s="198" t="s">
        <v>688</v>
      </c>
      <c r="D627" s="200">
        <v>13.148</v>
      </c>
      <c r="E627" s="201"/>
      <c r="F627" s="202"/>
      <c r="G627" s="201"/>
      <c r="H627" s="202"/>
      <c r="I627" s="203"/>
      <c r="J627" s="204"/>
    </row>
    <row r="628" spans="1:10" x14ac:dyDescent="0.3">
      <c r="A628" s="223" t="s">
        <v>1323</v>
      </c>
      <c r="B628" s="199" t="s">
        <v>1324</v>
      </c>
      <c r="C628" s="198" t="s">
        <v>273</v>
      </c>
      <c r="D628" s="200">
        <v>0.82399999999999995</v>
      </c>
      <c r="E628" s="201"/>
      <c r="F628" s="202"/>
      <c r="G628" s="201"/>
      <c r="H628" s="202"/>
      <c r="I628" s="203"/>
      <c r="J628" s="204"/>
    </row>
    <row r="629" spans="1:10" x14ac:dyDescent="0.3">
      <c r="A629" s="223" t="s">
        <v>1325</v>
      </c>
      <c r="B629" s="199" t="s">
        <v>1326</v>
      </c>
      <c r="C629" s="198" t="s">
        <v>273</v>
      </c>
      <c r="D629" s="200">
        <v>331.834</v>
      </c>
      <c r="E629" s="201"/>
      <c r="F629" s="202"/>
      <c r="G629" s="201"/>
      <c r="H629" s="202"/>
      <c r="I629" s="203"/>
      <c r="J629" s="204"/>
    </row>
    <row r="630" spans="1:10" x14ac:dyDescent="0.3">
      <c r="A630" s="223" t="s">
        <v>2033</v>
      </c>
      <c r="B630" s="199" t="s">
        <v>2034</v>
      </c>
      <c r="C630" s="198" t="s">
        <v>200</v>
      </c>
      <c r="D630" s="200">
        <v>44.988</v>
      </c>
      <c r="E630" s="201"/>
      <c r="F630" s="202"/>
      <c r="G630" s="201"/>
      <c r="H630" s="202"/>
      <c r="I630" s="203"/>
      <c r="J630" s="204"/>
    </row>
    <row r="631" spans="1:10" x14ac:dyDescent="0.3">
      <c r="A631" s="224" t="s">
        <v>1327</v>
      </c>
      <c r="B631" s="199" t="s">
        <v>1328</v>
      </c>
      <c r="C631" s="207" t="s">
        <v>198</v>
      </c>
      <c r="D631" s="200">
        <v>36.270000000000003</v>
      </c>
      <c r="E631" s="210"/>
      <c r="F631" s="200"/>
      <c r="G631" s="210"/>
      <c r="H631" s="200"/>
      <c r="I631" s="210"/>
      <c r="J631" s="204"/>
    </row>
    <row r="632" spans="1:10" x14ac:dyDescent="0.3">
      <c r="A632" s="223" t="s">
        <v>1329</v>
      </c>
      <c r="B632" s="199" t="s">
        <v>1330</v>
      </c>
      <c r="C632" s="198" t="s">
        <v>199</v>
      </c>
      <c r="D632" s="200">
        <v>82.742999999999995</v>
      </c>
      <c r="E632" s="201"/>
      <c r="F632" s="202"/>
      <c r="G632" s="201"/>
      <c r="H632" s="202"/>
      <c r="I632" s="203"/>
      <c r="J632" s="204"/>
    </row>
    <row r="633" spans="1:10" x14ac:dyDescent="0.3">
      <c r="A633" s="223" t="s">
        <v>1331</v>
      </c>
      <c r="B633" s="199" t="s">
        <v>1332</v>
      </c>
      <c r="C633" s="198" t="s">
        <v>199</v>
      </c>
      <c r="D633" s="200">
        <v>65.488</v>
      </c>
      <c r="E633" s="201"/>
      <c r="F633" s="202"/>
      <c r="G633" s="201"/>
      <c r="H633" s="202"/>
      <c r="I633" s="203"/>
      <c r="J633" s="203"/>
    </row>
    <row r="634" spans="1:10" x14ac:dyDescent="0.3">
      <c r="A634" s="223" t="s">
        <v>1333</v>
      </c>
      <c r="B634" s="199" t="s">
        <v>1334</v>
      </c>
      <c r="C634" s="198" t="s">
        <v>442</v>
      </c>
      <c r="D634" s="200">
        <v>1431.385</v>
      </c>
      <c r="E634" s="201"/>
      <c r="F634" s="202"/>
      <c r="G634" s="201"/>
      <c r="H634" s="202"/>
      <c r="I634" s="203"/>
      <c r="J634" s="204"/>
    </row>
    <row r="635" spans="1:10" x14ac:dyDescent="0.3">
      <c r="A635" s="223" t="s">
        <v>1633</v>
      </c>
      <c r="B635" s="199" t="s">
        <v>1634</v>
      </c>
      <c r="C635" s="198" t="s">
        <v>198</v>
      </c>
      <c r="D635" s="200">
        <v>25.719000000000001</v>
      </c>
      <c r="E635" s="201"/>
      <c r="F635" s="202"/>
      <c r="G635" s="201"/>
      <c r="H635" s="202"/>
      <c r="I635" s="203"/>
      <c r="J635" s="204"/>
    </row>
    <row r="636" spans="1:10" x14ac:dyDescent="0.3">
      <c r="A636" s="223" t="s">
        <v>2101</v>
      </c>
      <c r="B636" s="199" t="s">
        <v>2102</v>
      </c>
      <c r="C636" s="198" t="s">
        <v>2103</v>
      </c>
      <c r="D636" s="200">
        <v>188.97800000000001</v>
      </c>
      <c r="E636" s="201"/>
      <c r="F636" s="202"/>
      <c r="G636" s="201"/>
      <c r="H636" s="202"/>
      <c r="I636" s="203"/>
      <c r="J636" s="204"/>
    </row>
    <row r="637" spans="1:10" x14ac:dyDescent="0.3">
      <c r="A637" s="223" t="s">
        <v>1335</v>
      </c>
      <c r="B637" s="199" t="s">
        <v>1336</v>
      </c>
      <c r="C637" s="198" t="s">
        <v>198</v>
      </c>
      <c r="D637" s="200">
        <v>3.9329999999999998</v>
      </c>
      <c r="E637" s="201"/>
      <c r="F637" s="202"/>
      <c r="G637" s="201"/>
      <c r="H637" s="202"/>
      <c r="I637" s="203"/>
      <c r="J637" s="204" t="s">
        <v>2244</v>
      </c>
    </row>
    <row r="638" spans="1:10" x14ac:dyDescent="0.3">
      <c r="A638" s="223" t="s">
        <v>1337</v>
      </c>
      <c r="B638" s="199" t="s">
        <v>1338</v>
      </c>
      <c r="C638" s="198" t="s">
        <v>198</v>
      </c>
      <c r="D638" s="200">
        <v>4.9420000000000002</v>
      </c>
      <c r="E638" s="201"/>
      <c r="F638" s="202"/>
      <c r="G638" s="201"/>
      <c r="H638" s="202"/>
      <c r="I638" s="203"/>
      <c r="J638" s="204"/>
    </row>
    <row r="639" spans="1:10" x14ac:dyDescent="0.3">
      <c r="A639" s="223" t="s">
        <v>1341</v>
      </c>
      <c r="B639" s="199" t="s">
        <v>1342</v>
      </c>
      <c r="C639" s="198" t="s">
        <v>199</v>
      </c>
      <c r="D639" s="200">
        <v>9.2509999999999994</v>
      </c>
      <c r="E639" s="201"/>
      <c r="F639" s="202"/>
      <c r="G639" s="201"/>
      <c r="H639" s="202"/>
      <c r="I639" s="203"/>
      <c r="J639" s="204"/>
    </row>
    <row r="640" spans="1:10" x14ac:dyDescent="0.3">
      <c r="A640" s="224" t="s">
        <v>2276</v>
      </c>
      <c r="B640" s="199" t="s">
        <v>2277</v>
      </c>
      <c r="C640" s="207" t="s">
        <v>553</v>
      </c>
      <c r="D640" s="200">
        <v>15.443</v>
      </c>
      <c r="E640" s="210"/>
      <c r="F640" s="200"/>
      <c r="G640" s="210"/>
      <c r="H640" s="200"/>
      <c r="I640" s="210"/>
      <c r="J640" s="212" t="s">
        <v>2185</v>
      </c>
    </row>
    <row r="641" spans="1:10" x14ac:dyDescent="0.3">
      <c r="A641" s="224" t="s">
        <v>2278</v>
      </c>
      <c r="B641" s="199" t="s">
        <v>2279</v>
      </c>
      <c r="C641" s="207" t="s">
        <v>553</v>
      </c>
      <c r="D641" s="200">
        <v>7.8449999999999998</v>
      </c>
      <c r="E641" s="210"/>
      <c r="F641" s="200"/>
      <c r="G641" s="210"/>
      <c r="H641" s="200"/>
      <c r="I641" s="210"/>
      <c r="J641" s="212" t="s">
        <v>2185</v>
      </c>
    </row>
    <row r="642" spans="1:10" x14ac:dyDescent="0.3">
      <c r="A642" s="223" t="s">
        <v>1343</v>
      </c>
      <c r="B642" s="199" t="s">
        <v>1344</v>
      </c>
      <c r="C642" s="198" t="s">
        <v>553</v>
      </c>
      <c r="D642" s="200">
        <v>12.661</v>
      </c>
      <c r="E642" s="201"/>
      <c r="F642" s="202"/>
      <c r="G642" s="201"/>
      <c r="H642" s="202"/>
      <c r="I642" s="203"/>
      <c r="J642" s="204"/>
    </row>
    <row r="643" spans="1:10" x14ac:dyDescent="0.3">
      <c r="A643" s="224" t="s">
        <v>1345</v>
      </c>
      <c r="B643" s="199" t="s">
        <v>1346</v>
      </c>
      <c r="C643" s="207" t="s">
        <v>198</v>
      </c>
      <c r="D643" s="200">
        <v>7.0060000000000002</v>
      </c>
      <c r="E643" s="210"/>
      <c r="F643" s="200"/>
      <c r="G643" s="210"/>
      <c r="H643" s="200"/>
      <c r="I643" s="210"/>
      <c r="J643" s="204"/>
    </row>
    <row r="644" spans="1:10" x14ac:dyDescent="0.3">
      <c r="A644" s="223" t="s">
        <v>1347</v>
      </c>
      <c r="B644" s="199" t="s">
        <v>1348</v>
      </c>
      <c r="C644" s="198" t="s">
        <v>522</v>
      </c>
      <c r="D644" s="200">
        <v>10.554500000000001</v>
      </c>
      <c r="E644" s="201"/>
      <c r="F644" s="200"/>
      <c r="G644" s="201">
        <v>95</v>
      </c>
      <c r="H644" s="200">
        <v>10.554500000000001</v>
      </c>
      <c r="I644" s="203"/>
      <c r="J644" s="204"/>
    </row>
    <row r="645" spans="1:10" x14ac:dyDescent="0.3">
      <c r="A645" s="223" t="s">
        <v>1349</v>
      </c>
      <c r="B645" s="199" t="s">
        <v>1350</v>
      </c>
      <c r="C645" s="198" t="s">
        <v>951</v>
      </c>
      <c r="D645" s="200">
        <v>52.772500000000001</v>
      </c>
      <c r="E645" s="201"/>
      <c r="F645" s="200"/>
      <c r="G645" s="201">
        <v>95</v>
      </c>
      <c r="H645" s="200">
        <v>52.772500000000001</v>
      </c>
      <c r="I645" s="203"/>
      <c r="J645" s="204"/>
    </row>
    <row r="646" spans="1:10" x14ac:dyDescent="0.3">
      <c r="A646" s="223" t="s">
        <v>1351</v>
      </c>
      <c r="B646" s="199" t="s">
        <v>1352</v>
      </c>
      <c r="C646" s="198" t="s">
        <v>1353</v>
      </c>
      <c r="D646" s="200">
        <v>21.109000000000002</v>
      </c>
      <c r="E646" s="201"/>
      <c r="F646" s="200"/>
      <c r="G646" s="201">
        <v>95</v>
      </c>
      <c r="H646" s="200">
        <v>21.109000000000002</v>
      </c>
      <c r="I646" s="203"/>
      <c r="J646" s="204"/>
    </row>
    <row r="647" spans="1:10" x14ac:dyDescent="0.3">
      <c r="A647" s="223" t="s">
        <v>1354</v>
      </c>
      <c r="B647" s="199" t="s">
        <v>1355</v>
      </c>
      <c r="C647" s="198" t="s">
        <v>522</v>
      </c>
      <c r="D647" s="200">
        <v>52.772500000000001</v>
      </c>
      <c r="E647" s="201"/>
      <c r="F647" s="200"/>
      <c r="G647" s="201">
        <v>95</v>
      </c>
      <c r="H647" s="200">
        <v>52.772500000000001</v>
      </c>
      <c r="I647" s="203"/>
      <c r="J647" s="204"/>
    </row>
    <row r="648" spans="1:10" x14ac:dyDescent="0.3">
      <c r="A648" s="225" t="s">
        <v>1356</v>
      </c>
      <c r="B648" s="199" t="s">
        <v>1357</v>
      </c>
      <c r="C648" s="198" t="s">
        <v>198</v>
      </c>
      <c r="D648" s="200">
        <v>0.55600000000000005</v>
      </c>
      <c r="E648" s="201"/>
      <c r="F648" s="200"/>
      <c r="G648" s="201"/>
      <c r="H648" s="200"/>
      <c r="I648" s="203"/>
      <c r="J648" s="204"/>
    </row>
    <row r="649" spans="1:10" x14ac:dyDescent="0.3">
      <c r="A649" s="225" t="s">
        <v>1358</v>
      </c>
      <c r="B649" s="199" t="s">
        <v>1359</v>
      </c>
      <c r="C649" s="198" t="s">
        <v>198</v>
      </c>
      <c r="D649" s="200">
        <v>0.55600000000000005</v>
      </c>
      <c r="E649" s="201"/>
      <c r="F649" s="200"/>
      <c r="G649" s="201"/>
      <c r="H649" s="200"/>
      <c r="I649" s="203"/>
      <c r="J649" s="204"/>
    </row>
    <row r="650" spans="1:10" x14ac:dyDescent="0.3">
      <c r="A650" s="223" t="s">
        <v>1360</v>
      </c>
      <c r="B650" s="199" t="s">
        <v>1361</v>
      </c>
      <c r="C650" s="198" t="s">
        <v>198</v>
      </c>
      <c r="D650" s="200">
        <v>1.2E-2</v>
      </c>
      <c r="E650" s="201"/>
      <c r="F650" s="202"/>
      <c r="G650" s="201"/>
      <c r="H650" s="202"/>
      <c r="I650" s="203"/>
      <c r="J650" s="204"/>
    </row>
    <row r="651" spans="1:10" x14ac:dyDescent="0.3">
      <c r="A651" s="223" t="s">
        <v>1368</v>
      </c>
      <c r="B651" s="199" t="s">
        <v>1369</v>
      </c>
      <c r="C651" s="198" t="s">
        <v>1134</v>
      </c>
      <c r="D651" s="200">
        <v>0.78600000000000003</v>
      </c>
      <c r="E651" s="201"/>
      <c r="F651" s="202"/>
      <c r="G651" s="201"/>
      <c r="H651" s="202"/>
      <c r="I651" s="203"/>
      <c r="J651" s="204"/>
    </row>
    <row r="652" spans="1:10" x14ac:dyDescent="0.3">
      <c r="A652" s="223" t="s">
        <v>2280</v>
      </c>
      <c r="B652" s="199" t="s">
        <v>2281</v>
      </c>
      <c r="C652" s="198" t="s">
        <v>2282</v>
      </c>
      <c r="D652" s="200">
        <v>2394</v>
      </c>
      <c r="E652" s="201"/>
      <c r="F652" s="202"/>
      <c r="G652" s="201"/>
      <c r="H652" s="202"/>
      <c r="I652" s="203"/>
      <c r="J652" s="204"/>
    </row>
    <row r="653" spans="1:10" x14ac:dyDescent="0.3">
      <c r="A653" s="223" t="s">
        <v>1374</v>
      </c>
      <c r="B653" s="199" t="s">
        <v>1375</v>
      </c>
      <c r="C653" s="198" t="s">
        <v>1376</v>
      </c>
      <c r="D653" s="200">
        <v>53981.464</v>
      </c>
      <c r="E653" s="201"/>
      <c r="F653" s="202"/>
      <c r="G653" s="201"/>
      <c r="H653" s="202"/>
      <c r="I653" s="203"/>
      <c r="J653" s="204"/>
    </row>
    <row r="654" spans="1:10" x14ac:dyDescent="0.3">
      <c r="A654" s="223" t="s">
        <v>191</v>
      </c>
      <c r="B654" s="199" t="s">
        <v>1377</v>
      </c>
      <c r="C654" s="198" t="s">
        <v>199</v>
      </c>
      <c r="D654" s="200">
        <v>102.235</v>
      </c>
      <c r="E654" s="201"/>
      <c r="F654" s="202"/>
      <c r="G654" s="201"/>
      <c r="H654" s="202"/>
      <c r="I654" s="203"/>
      <c r="J654" s="204"/>
    </row>
    <row r="655" spans="1:10" x14ac:dyDescent="0.3">
      <c r="A655" s="223" t="s">
        <v>1378</v>
      </c>
      <c r="B655" s="199" t="s">
        <v>1379</v>
      </c>
      <c r="C655" s="198" t="s">
        <v>452</v>
      </c>
      <c r="D655" s="200">
        <v>54.417999999999999</v>
      </c>
      <c r="E655" s="201"/>
      <c r="F655" s="202"/>
      <c r="G655" s="201"/>
      <c r="H655" s="202"/>
      <c r="I655" s="203"/>
      <c r="J655" s="204"/>
    </row>
    <row r="656" spans="1:10" x14ac:dyDescent="0.3">
      <c r="A656" s="223" t="s">
        <v>1380</v>
      </c>
      <c r="B656" s="199" t="s">
        <v>1381</v>
      </c>
      <c r="C656" s="206" t="s">
        <v>1382</v>
      </c>
      <c r="D656" s="200">
        <v>139.50899999999999</v>
      </c>
      <c r="E656" s="201"/>
      <c r="F656" s="202"/>
      <c r="G656" s="201"/>
      <c r="H656" s="202"/>
      <c r="I656" s="203"/>
      <c r="J656" s="204"/>
    </row>
    <row r="657" spans="1:10" x14ac:dyDescent="0.3">
      <c r="A657" s="223" t="s">
        <v>1383</v>
      </c>
      <c r="B657" s="199" t="s">
        <v>1384</v>
      </c>
      <c r="C657" s="198" t="s">
        <v>360</v>
      </c>
      <c r="D657" s="200">
        <v>0.82399999999999995</v>
      </c>
      <c r="E657" s="201"/>
      <c r="F657" s="202"/>
      <c r="G657" s="201"/>
      <c r="H657" s="202"/>
      <c r="I657" s="203"/>
      <c r="J657" s="204"/>
    </row>
    <row r="658" spans="1:10" x14ac:dyDescent="0.3">
      <c r="A658" s="223" t="s">
        <v>1385</v>
      </c>
      <c r="B658" s="199" t="s">
        <v>1386</v>
      </c>
      <c r="C658" s="198" t="s">
        <v>1042</v>
      </c>
      <c r="D658" s="200">
        <v>30.36</v>
      </c>
      <c r="E658" s="201"/>
      <c r="F658" s="202"/>
      <c r="G658" s="201"/>
      <c r="H658" s="202"/>
      <c r="I658" s="203"/>
      <c r="J658" s="204"/>
    </row>
    <row r="659" spans="1:10" x14ac:dyDescent="0.3">
      <c r="A659" s="223" t="s">
        <v>1387</v>
      </c>
      <c r="B659" s="199" t="s">
        <v>1388</v>
      </c>
      <c r="C659" s="198" t="s">
        <v>1042</v>
      </c>
      <c r="D659" s="200">
        <v>12.722</v>
      </c>
      <c r="E659" s="201"/>
      <c r="F659" s="202"/>
      <c r="G659" s="201"/>
      <c r="H659" s="202"/>
      <c r="I659" s="203"/>
      <c r="J659" s="204"/>
    </row>
    <row r="660" spans="1:10" x14ac:dyDescent="0.3">
      <c r="A660" s="224" t="s">
        <v>2283</v>
      </c>
      <c r="B660" s="199" t="s">
        <v>2284</v>
      </c>
      <c r="C660" s="207" t="s">
        <v>1042</v>
      </c>
      <c r="D660" s="200">
        <v>12.86</v>
      </c>
      <c r="E660" s="210"/>
      <c r="F660" s="200"/>
      <c r="G660" s="210"/>
      <c r="H660" s="200"/>
      <c r="I660" s="210"/>
      <c r="J660" s="212" t="s">
        <v>2185</v>
      </c>
    </row>
    <row r="661" spans="1:10" x14ac:dyDescent="0.3">
      <c r="A661" s="224" t="s">
        <v>2285</v>
      </c>
      <c r="B661" s="199" t="s">
        <v>2286</v>
      </c>
      <c r="C661" s="207" t="s">
        <v>1042</v>
      </c>
      <c r="D661" s="200">
        <v>47.402999999999999</v>
      </c>
      <c r="E661" s="210"/>
      <c r="F661" s="200"/>
      <c r="G661" s="210"/>
      <c r="H661" s="200"/>
      <c r="I661" s="210"/>
      <c r="J661" s="212" t="s">
        <v>2185</v>
      </c>
    </row>
    <row r="662" spans="1:10" x14ac:dyDescent="0.3">
      <c r="A662" s="224" t="s">
        <v>2287</v>
      </c>
      <c r="B662" s="199" t="s">
        <v>2288</v>
      </c>
      <c r="C662" s="207" t="s">
        <v>1042</v>
      </c>
      <c r="D662" s="200">
        <v>21.356999999999999</v>
      </c>
      <c r="E662" s="210"/>
      <c r="F662" s="200"/>
      <c r="G662" s="210"/>
      <c r="H662" s="200"/>
      <c r="I662" s="210"/>
      <c r="J662" s="212" t="s">
        <v>2185</v>
      </c>
    </row>
    <row r="663" spans="1:10" x14ac:dyDescent="0.3">
      <c r="A663" s="223" t="s">
        <v>1389</v>
      </c>
      <c r="B663" s="199" t="s">
        <v>1390</v>
      </c>
      <c r="C663" s="198" t="s">
        <v>1042</v>
      </c>
      <c r="D663" s="200">
        <v>16.253</v>
      </c>
      <c r="E663" s="201"/>
      <c r="F663" s="202"/>
      <c r="G663" s="201"/>
      <c r="H663" s="202"/>
      <c r="I663" s="203"/>
      <c r="J663" s="204"/>
    </row>
    <row r="664" spans="1:10" x14ac:dyDescent="0.3">
      <c r="A664" s="224" t="s">
        <v>2289</v>
      </c>
      <c r="B664" s="199" t="s">
        <v>2290</v>
      </c>
      <c r="C664" s="207" t="s">
        <v>1042</v>
      </c>
      <c r="D664" s="200">
        <v>46.918999999999997</v>
      </c>
      <c r="E664" s="210"/>
      <c r="F664" s="200"/>
      <c r="G664" s="210"/>
      <c r="H664" s="200"/>
      <c r="I664" s="210"/>
      <c r="J664" s="212" t="s">
        <v>2185</v>
      </c>
    </row>
    <row r="665" spans="1:10" x14ac:dyDescent="0.3">
      <c r="A665" s="223" t="s">
        <v>1393</v>
      </c>
      <c r="B665" s="199" t="s">
        <v>1394</v>
      </c>
      <c r="C665" s="198" t="s">
        <v>1042</v>
      </c>
      <c r="D665" s="200">
        <v>42.881</v>
      </c>
      <c r="E665" s="201"/>
      <c r="F665" s="202"/>
      <c r="G665" s="201"/>
      <c r="H665" s="202"/>
      <c r="I665" s="203"/>
      <c r="J665" s="203"/>
    </row>
    <row r="666" spans="1:10" x14ac:dyDescent="0.3">
      <c r="A666" s="223" t="s">
        <v>1395</v>
      </c>
      <c r="B666" s="199" t="s">
        <v>1396</v>
      </c>
      <c r="C666" s="198" t="s">
        <v>1042</v>
      </c>
      <c r="D666" s="200">
        <v>7.0609999999999999</v>
      </c>
      <c r="E666" s="201"/>
      <c r="F666" s="202"/>
      <c r="G666" s="201"/>
      <c r="H666" s="202"/>
      <c r="I666" s="203"/>
      <c r="J666" s="204"/>
    </row>
    <row r="667" spans="1:10" x14ac:dyDescent="0.3">
      <c r="A667" s="224" t="s">
        <v>2291</v>
      </c>
      <c r="B667" s="199" t="s">
        <v>2292</v>
      </c>
      <c r="C667" s="207" t="s">
        <v>574</v>
      </c>
      <c r="D667" s="200">
        <v>1576.5160000000001</v>
      </c>
      <c r="E667" s="210"/>
      <c r="F667" s="200"/>
      <c r="G667" s="210"/>
      <c r="H667" s="200"/>
      <c r="I667" s="210"/>
      <c r="J667" s="212" t="s">
        <v>2185</v>
      </c>
    </row>
    <row r="668" spans="1:10" x14ac:dyDescent="0.3">
      <c r="A668" s="224" t="s">
        <v>1401</v>
      </c>
      <c r="B668" s="199" t="s">
        <v>1402</v>
      </c>
      <c r="C668" s="207" t="s">
        <v>1042</v>
      </c>
      <c r="D668" s="200">
        <v>10.855</v>
      </c>
      <c r="E668" s="210"/>
      <c r="F668" s="200"/>
      <c r="G668" s="210"/>
      <c r="H668" s="200"/>
      <c r="I668" s="210"/>
      <c r="J668" s="212" t="s">
        <v>2185</v>
      </c>
    </row>
    <row r="669" spans="1:10" x14ac:dyDescent="0.3">
      <c r="A669" s="224" t="s">
        <v>2293</v>
      </c>
      <c r="B669" s="199" t="s">
        <v>2294</v>
      </c>
      <c r="C669" s="207" t="s">
        <v>1042</v>
      </c>
      <c r="D669" s="200">
        <v>8.7110000000000003</v>
      </c>
      <c r="E669" s="210"/>
      <c r="F669" s="200"/>
      <c r="G669" s="210"/>
      <c r="H669" s="200"/>
      <c r="I669" s="210"/>
      <c r="J669" s="212" t="s">
        <v>2185</v>
      </c>
    </row>
    <row r="670" spans="1:10" x14ac:dyDescent="0.3">
      <c r="A670" s="224" t="s">
        <v>2295</v>
      </c>
      <c r="B670" s="199" t="s">
        <v>2296</v>
      </c>
      <c r="C670" s="207" t="s">
        <v>198</v>
      </c>
      <c r="D670" s="200">
        <v>2.5019999999999998</v>
      </c>
      <c r="E670" s="210"/>
      <c r="F670" s="200"/>
      <c r="G670" s="210"/>
      <c r="H670" s="200"/>
      <c r="I670" s="210"/>
      <c r="J670" s="212" t="s">
        <v>2185</v>
      </c>
    </row>
    <row r="671" spans="1:10" x14ac:dyDescent="0.3">
      <c r="A671" s="223" t="s">
        <v>1403</v>
      </c>
      <c r="B671" s="199" t="s">
        <v>1404</v>
      </c>
      <c r="C671" s="205" t="s">
        <v>1042</v>
      </c>
      <c r="D671" s="200">
        <v>44.305999999999997</v>
      </c>
      <c r="E671" s="201"/>
      <c r="F671" s="202"/>
      <c r="G671" s="201"/>
      <c r="H671" s="202"/>
      <c r="I671" s="203"/>
      <c r="J671" s="204"/>
    </row>
    <row r="672" spans="1:10" x14ac:dyDescent="0.3">
      <c r="A672" s="224" t="s">
        <v>2297</v>
      </c>
      <c r="B672" s="199" t="s">
        <v>1402</v>
      </c>
      <c r="C672" s="207" t="s">
        <v>1042</v>
      </c>
      <c r="D672" s="200">
        <v>23.404</v>
      </c>
      <c r="E672" s="210"/>
      <c r="F672" s="200"/>
      <c r="G672" s="210"/>
      <c r="H672" s="200"/>
      <c r="I672" s="210"/>
      <c r="J672" s="212" t="s">
        <v>2185</v>
      </c>
    </row>
    <row r="673" spans="1:10" x14ac:dyDescent="0.3">
      <c r="A673" s="224" t="s">
        <v>2298</v>
      </c>
      <c r="B673" s="199" t="s">
        <v>2299</v>
      </c>
      <c r="C673" s="207" t="s">
        <v>1042</v>
      </c>
      <c r="D673" s="200">
        <v>9.109</v>
      </c>
      <c r="E673" s="210"/>
      <c r="F673" s="200"/>
      <c r="G673" s="210"/>
      <c r="H673" s="200"/>
      <c r="I673" s="210"/>
      <c r="J673" s="212" t="s">
        <v>2185</v>
      </c>
    </row>
    <row r="674" spans="1:10" x14ac:dyDescent="0.3">
      <c r="A674" s="224" t="s">
        <v>2300</v>
      </c>
      <c r="B674" s="199" t="s">
        <v>2301</v>
      </c>
      <c r="C674" s="207" t="s">
        <v>1042</v>
      </c>
      <c r="D674" s="200">
        <v>88.18</v>
      </c>
      <c r="E674" s="210"/>
      <c r="F674" s="200"/>
      <c r="G674" s="210"/>
      <c r="H674" s="200"/>
      <c r="I674" s="210"/>
      <c r="J674" s="212" t="s">
        <v>2185</v>
      </c>
    </row>
    <row r="675" spans="1:10" x14ac:dyDescent="0.3">
      <c r="A675" s="224" t="s">
        <v>2302</v>
      </c>
      <c r="B675" s="199" t="s">
        <v>2303</v>
      </c>
      <c r="C675" s="207" t="s">
        <v>1042</v>
      </c>
      <c r="D675" s="200">
        <v>77.308000000000007</v>
      </c>
      <c r="E675" s="210"/>
      <c r="F675" s="200"/>
      <c r="G675" s="210"/>
      <c r="H675" s="200"/>
      <c r="I675" s="210"/>
      <c r="J675" s="212" t="s">
        <v>2185</v>
      </c>
    </row>
    <row r="676" spans="1:10" x14ac:dyDescent="0.3">
      <c r="A676" s="224" t="s">
        <v>2304</v>
      </c>
      <c r="B676" s="199" t="s">
        <v>2305</v>
      </c>
      <c r="C676" s="207" t="s">
        <v>1042</v>
      </c>
      <c r="D676" s="200">
        <v>30.675000000000001</v>
      </c>
      <c r="E676" s="210"/>
      <c r="F676" s="200"/>
      <c r="G676" s="210"/>
      <c r="H676" s="200"/>
      <c r="I676" s="210"/>
      <c r="J676" s="212" t="s">
        <v>2185</v>
      </c>
    </row>
    <row r="677" spans="1:10" x14ac:dyDescent="0.3">
      <c r="A677" s="224" t="s">
        <v>1405</v>
      </c>
      <c r="B677" s="199" t="s">
        <v>1406</v>
      </c>
      <c r="C677" s="207" t="s">
        <v>1042</v>
      </c>
      <c r="D677" s="200">
        <v>373.33199999999999</v>
      </c>
      <c r="E677" s="210"/>
      <c r="F677" s="200"/>
      <c r="G677" s="210"/>
      <c r="H677" s="200"/>
      <c r="I677" s="210"/>
      <c r="J677" s="212" t="s">
        <v>2185</v>
      </c>
    </row>
    <row r="678" spans="1:10" x14ac:dyDescent="0.3">
      <c r="A678" s="223" t="s">
        <v>1407</v>
      </c>
      <c r="B678" s="199" t="s">
        <v>1408</v>
      </c>
      <c r="C678" s="205" t="s">
        <v>1042</v>
      </c>
      <c r="D678" s="200">
        <v>137.12899999999999</v>
      </c>
      <c r="E678" s="201"/>
      <c r="F678" s="202"/>
      <c r="G678" s="201"/>
      <c r="H678" s="202"/>
      <c r="I678" s="203"/>
      <c r="J678" s="204"/>
    </row>
    <row r="679" spans="1:10" x14ac:dyDescent="0.3">
      <c r="A679" s="223" t="s">
        <v>1409</v>
      </c>
      <c r="B679" s="199" t="s">
        <v>1410</v>
      </c>
      <c r="C679" s="205" t="s">
        <v>1042</v>
      </c>
      <c r="D679" s="200">
        <v>99.906000000000006</v>
      </c>
      <c r="E679" s="201"/>
      <c r="F679" s="202"/>
      <c r="G679" s="201"/>
      <c r="H679" s="202"/>
      <c r="I679" s="203"/>
      <c r="J679" s="203"/>
    </row>
    <row r="680" spans="1:10" x14ac:dyDescent="0.3">
      <c r="A680" s="224" t="s">
        <v>2306</v>
      </c>
      <c r="B680" s="199" t="s">
        <v>2307</v>
      </c>
      <c r="C680" s="207" t="s">
        <v>1042</v>
      </c>
      <c r="D680" s="200">
        <v>23.49</v>
      </c>
      <c r="E680" s="210"/>
      <c r="F680" s="200"/>
      <c r="G680" s="210"/>
      <c r="H680" s="200"/>
      <c r="I680" s="210"/>
      <c r="J680" s="212" t="s">
        <v>2185</v>
      </c>
    </row>
    <row r="681" spans="1:10" x14ac:dyDescent="0.3">
      <c r="A681" s="224" t="s">
        <v>2308</v>
      </c>
      <c r="B681" s="199" t="s">
        <v>2309</v>
      </c>
      <c r="C681" s="207" t="s">
        <v>1042</v>
      </c>
      <c r="D681" s="200">
        <v>74.302999999999997</v>
      </c>
      <c r="E681" s="210"/>
      <c r="F681" s="200"/>
      <c r="G681" s="210"/>
      <c r="H681" s="200"/>
      <c r="I681" s="210"/>
      <c r="J681" s="212" t="s">
        <v>2185</v>
      </c>
    </row>
    <row r="682" spans="1:10" x14ac:dyDescent="0.3">
      <c r="A682" s="223" t="s">
        <v>1413</v>
      </c>
      <c r="B682" s="199" t="s">
        <v>1414</v>
      </c>
      <c r="C682" s="205" t="s">
        <v>1042</v>
      </c>
      <c r="D682" s="200">
        <v>120.839</v>
      </c>
      <c r="E682" s="201"/>
      <c r="F682" s="202"/>
      <c r="G682" s="201"/>
      <c r="H682" s="202"/>
      <c r="I682" s="203"/>
      <c r="J682" s="203"/>
    </row>
    <row r="683" spans="1:10" x14ac:dyDescent="0.3">
      <c r="A683" s="224" t="s">
        <v>2310</v>
      </c>
      <c r="B683" s="199" t="s">
        <v>2311</v>
      </c>
      <c r="C683" s="207" t="s">
        <v>1042</v>
      </c>
      <c r="D683" s="200">
        <v>44.442999999999998</v>
      </c>
      <c r="E683" s="210"/>
      <c r="F683" s="200"/>
      <c r="G683" s="210"/>
      <c r="H683" s="200"/>
      <c r="I683" s="210"/>
      <c r="J683" s="212" t="s">
        <v>2185</v>
      </c>
    </row>
    <row r="684" spans="1:10" x14ac:dyDescent="0.3">
      <c r="A684" s="224" t="s">
        <v>2312</v>
      </c>
      <c r="B684" s="199" t="s">
        <v>2313</v>
      </c>
      <c r="C684" s="207" t="s">
        <v>1042</v>
      </c>
      <c r="D684" s="200">
        <v>160.65299999999999</v>
      </c>
      <c r="E684" s="210"/>
      <c r="F684" s="200"/>
      <c r="G684" s="210"/>
      <c r="H684" s="200"/>
      <c r="I684" s="210"/>
      <c r="J684" s="212" t="s">
        <v>2185</v>
      </c>
    </row>
    <row r="685" spans="1:10" x14ac:dyDescent="0.3">
      <c r="A685" s="224" t="s">
        <v>1415</v>
      </c>
      <c r="B685" s="199" t="s">
        <v>1416</v>
      </c>
      <c r="C685" s="207" t="s">
        <v>1042</v>
      </c>
      <c r="D685" s="200">
        <v>158.16900000000001</v>
      </c>
      <c r="E685" s="210"/>
      <c r="F685" s="200"/>
      <c r="G685" s="210"/>
      <c r="H685" s="200"/>
      <c r="I685" s="210"/>
      <c r="J685" s="212" t="s">
        <v>2185</v>
      </c>
    </row>
    <row r="686" spans="1:10" x14ac:dyDescent="0.3">
      <c r="A686" s="223" t="s">
        <v>1417</v>
      </c>
      <c r="B686" s="199" t="s">
        <v>1418</v>
      </c>
      <c r="C686" s="206" t="s">
        <v>1042</v>
      </c>
      <c r="D686" s="200">
        <v>460.50099999999998</v>
      </c>
      <c r="E686" s="201"/>
      <c r="F686" s="202"/>
      <c r="G686" s="201"/>
      <c r="H686" s="202"/>
      <c r="I686" s="203"/>
      <c r="J686" s="204"/>
    </row>
    <row r="687" spans="1:10" x14ac:dyDescent="0.3">
      <c r="A687" s="223" t="s">
        <v>1419</v>
      </c>
      <c r="B687" s="199" t="s">
        <v>1420</v>
      </c>
      <c r="C687" s="205" t="s">
        <v>1042</v>
      </c>
      <c r="D687" s="200">
        <v>94.06</v>
      </c>
      <c r="E687" s="201"/>
      <c r="F687" s="202"/>
      <c r="G687" s="201"/>
      <c r="H687" s="202"/>
      <c r="I687" s="203"/>
      <c r="J687" s="203"/>
    </row>
    <row r="688" spans="1:10" x14ac:dyDescent="0.3">
      <c r="A688" s="224" t="s">
        <v>2314</v>
      </c>
      <c r="B688" s="199" t="s">
        <v>2315</v>
      </c>
      <c r="C688" s="207" t="s">
        <v>1042</v>
      </c>
      <c r="D688" s="200">
        <v>127.2</v>
      </c>
      <c r="E688" s="210"/>
      <c r="F688" s="200"/>
      <c r="G688" s="210"/>
      <c r="H688" s="200"/>
      <c r="I688" s="210"/>
      <c r="J688" s="212" t="s">
        <v>2185</v>
      </c>
    </row>
    <row r="689" spans="1:10" x14ac:dyDescent="0.3">
      <c r="A689" s="223" t="s">
        <v>1998</v>
      </c>
      <c r="B689" s="199" t="s">
        <v>1999</v>
      </c>
      <c r="C689" s="198" t="s">
        <v>1042</v>
      </c>
      <c r="D689" s="200">
        <v>104.782</v>
      </c>
      <c r="E689" s="201"/>
      <c r="F689" s="202"/>
      <c r="G689" s="201"/>
      <c r="H689" s="202"/>
      <c r="I689" s="203"/>
      <c r="J689" s="204"/>
    </row>
    <row r="690" spans="1:10" x14ac:dyDescent="0.3">
      <c r="A690" s="224" t="s">
        <v>1421</v>
      </c>
      <c r="B690" s="199" t="s">
        <v>1422</v>
      </c>
      <c r="C690" s="207" t="s">
        <v>1042</v>
      </c>
      <c r="D690" s="200">
        <v>81.108000000000004</v>
      </c>
      <c r="E690" s="210"/>
      <c r="F690" s="200"/>
      <c r="G690" s="210"/>
      <c r="H690" s="200"/>
      <c r="I690" s="210"/>
      <c r="J690" s="212" t="s">
        <v>2185</v>
      </c>
    </row>
    <row r="691" spans="1:10" x14ac:dyDescent="0.3">
      <c r="A691" s="224" t="s">
        <v>2316</v>
      </c>
      <c r="B691" s="199" t="s">
        <v>2317</v>
      </c>
      <c r="C691" s="207" t="s">
        <v>198</v>
      </c>
      <c r="D691" s="200">
        <v>49.231999999999999</v>
      </c>
      <c r="E691" s="210"/>
      <c r="F691" s="200"/>
      <c r="G691" s="210"/>
      <c r="H691" s="200"/>
      <c r="I691" s="210"/>
      <c r="J691" s="212" t="s">
        <v>2185</v>
      </c>
    </row>
    <row r="692" spans="1:10" x14ac:dyDescent="0.3">
      <c r="A692" s="224" t="s">
        <v>2318</v>
      </c>
      <c r="B692" s="199" t="s">
        <v>2319</v>
      </c>
      <c r="C692" s="207" t="s">
        <v>1042</v>
      </c>
      <c r="D692" s="200">
        <v>63.377000000000002</v>
      </c>
      <c r="E692" s="210"/>
      <c r="F692" s="200"/>
      <c r="G692" s="210"/>
      <c r="H692" s="200"/>
      <c r="I692" s="210"/>
      <c r="J692" s="212" t="s">
        <v>2185</v>
      </c>
    </row>
    <row r="693" spans="1:10" x14ac:dyDescent="0.3">
      <c r="A693" s="224" t="s">
        <v>2320</v>
      </c>
      <c r="B693" s="199" t="s">
        <v>2321</v>
      </c>
      <c r="C693" s="207" t="s">
        <v>1042</v>
      </c>
      <c r="D693" s="200">
        <v>129.619</v>
      </c>
      <c r="E693" s="210"/>
      <c r="F693" s="200"/>
      <c r="G693" s="210"/>
      <c r="H693" s="200"/>
      <c r="I693" s="210"/>
      <c r="J693" s="212" t="s">
        <v>2185</v>
      </c>
    </row>
    <row r="694" spans="1:10" x14ac:dyDescent="0.3">
      <c r="A694" s="224" t="s">
        <v>2322</v>
      </c>
      <c r="B694" s="199" t="s">
        <v>2323</v>
      </c>
      <c r="C694" s="207" t="s">
        <v>1042</v>
      </c>
      <c r="D694" s="200">
        <v>166.12899999999999</v>
      </c>
      <c r="E694" s="210"/>
      <c r="F694" s="200"/>
      <c r="G694" s="210"/>
      <c r="H694" s="200"/>
      <c r="I694" s="210"/>
      <c r="J694" s="212" t="s">
        <v>2185</v>
      </c>
    </row>
    <row r="695" spans="1:10" x14ac:dyDescent="0.3">
      <c r="A695" s="223" t="s">
        <v>1423</v>
      </c>
      <c r="B695" s="199" t="s">
        <v>1424</v>
      </c>
      <c r="C695" s="205" t="s">
        <v>1042</v>
      </c>
      <c r="D695" s="200">
        <v>153.459</v>
      </c>
      <c r="E695" s="201"/>
      <c r="F695" s="202"/>
      <c r="G695" s="201"/>
      <c r="H695" s="202"/>
      <c r="I695" s="203"/>
      <c r="J695" s="211"/>
    </row>
    <row r="696" spans="1:10" x14ac:dyDescent="0.3">
      <c r="A696" s="223" t="s">
        <v>2000</v>
      </c>
      <c r="B696" s="199" t="s">
        <v>2001</v>
      </c>
      <c r="C696" s="198" t="s">
        <v>1042</v>
      </c>
      <c r="D696" s="200">
        <v>241.74600000000001</v>
      </c>
      <c r="E696" s="201"/>
      <c r="F696" s="202"/>
      <c r="G696" s="201"/>
      <c r="H696" s="202"/>
      <c r="I696" s="203"/>
      <c r="J696" s="204"/>
    </row>
    <row r="697" spans="1:10" x14ac:dyDescent="0.3">
      <c r="A697" s="223" t="s">
        <v>1425</v>
      </c>
      <c r="B697" s="199" t="s">
        <v>1426</v>
      </c>
      <c r="C697" s="198" t="s">
        <v>1042</v>
      </c>
      <c r="D697" s="200">
        <v>71.231999999999999</v>
      </c>
      <c r="E697" s="201"/>
      <c r="F697" s="202"/>
      <c r="G697" s="201"/>
      <c r="H697" s="202"/>
      <c r="I697" s="203"/>
      <c r="J697" s="211"/>
    </row>
    <row r="698" spans="1:10" x14ac:dyDescent="0.3">
      <c r="A698" s="224" t="s">
        <v>1427</v>
      </c>
      <c r="B698" s="199" t="s">
        <v>1428</v>
      </c>
      <c r="C698" s="198" t="s">
        <v>1042</v>
      </c>
      <c r="D698" s="200">
        <v>109.761</v>
      </c>
      <c r="E698" s="210"/>
      <c r="F698" s="200"/>
      <c r="G698" s="210"/>
      <c r="H698" s="200"/>
      <c r="I698" s="210"/>
      <c r="J698" s="211"/>
    </row>
    <row r="699" spans="1:10" x14ac:dyDescent="0.3">
      <c r="A699" s="224" t="s">
        <v>2324</v>
      </c>
      <c r="B699" s="199" t="s">
        <v>2325</v>
      </c>
      <c r="C699" s="207" t="s">
        <v>1042</v>
      </c>
      <c r="D699" s="200">
        <v>178.34100000000001</v>
      </c>
      <c r="E699" s="210"/>
      <c r="F699" s="200"/>
      <c r="G699" s="210"/>
      <c r="H699" s="200"/>
      <c r="I699" s="210"/>
      <c r="J699" s="212" t="s">
        <v>2185</v>
      </c>
    </row>
    <row r="700" spans="1:10" x14ac:dyDescent="0.3">
      <c r="A700" s="224" t="s">
        <v>2326</v>
      </c>
      <c r="B700" s="199" t="s">
        <v>2327</v>
      </c>
      <c r="C700" s="207" t="s">
        <v>1042</v>
      </c>
      <c r="D700" s="200">
        <v>317.245</v>
      </c>
      <c r="E700" s="210"/>
      <c r="F700" s="200"/>
      <c r="G700" s="210"/>
      <c r="H700" s="200"/>
      <c r="I700" s="210"/>
      <c r="J700" s="212" t="s">
        <v>2185</v>
      </c>
    </row>
    <row r="701" spans="1:10" x14ac:dyDescent="0.3">
      <c r="A701" s="224" t="s">
        <v>2328</v>
      </c>
      <c r="B701" s="199" t="s">
        <v>2329</v>
      </c>
      <c r="C701" s="207" t="s">
        <v>1042</v>
      </c>
      <c r="D701" s="200">
        <v>170.26300000000001</v>
      </c>
      <c r="E701" s="210"/>
      <c r="F701" s="200"/>
      <c r="G701" s="210"/>
      <c r="H701" s="200"/>
      <c r="I701" s="210"/>
      <c r="J701" s="212" t="s">
        <v>2185</v>
      </c>
    </row>
    <row r="702" spans="1:10" x14ac:dyDescent="0.3">
      <c r="A702" s="224" t="s">
        <v>2330</v>
      </c>
      <c r="B702" s="199" t="s">
        <v>2331</v>
      </c>
      <c r="C702" s="207" t="s">
        <v>1042</v>
      </c>
      <c r="D702" s="200">
        <v>222.39099999999999</v>
      </c>
      <c r="E702" s="210"/>
      <c r="F702" s="200"/>
      <c r="G702" s="210"/>
      <c r="H702" s="200"/>
      <c r="I702" s="210"/>
      <c r="J702" s="212" t="s">
        <v>2185</v>
      </c>
    </row>
    <row r="703" spans="1:10" x14ac:dyDescent="0.3">
      <c r="A703" s="224" t="s">
        <v>2332</v>
      </c>
      <c r="B703" s="199" t="s">
        <v>2333</v>
      </c>
      <c r="C703" s="207" t="s">
        <v>1042</v>
      </c>
      <c r="D703" s="200">
        <v>848</v>
      </c>
      <c r="E703" s="210"/>
      <c r="F703" s="200"/>
      <c r="G703" s="210"/>
      <c r="H703" s="200"/>
      <c r="I703" s="210"/>
      <c r="J703" s="212" t="s">
        <v>2185</v>
      </c>
    </row>
    <row r="704" spans="1:10" x14ac:dyDescent="0.3">
      <c r="A704" s="224" t="s">
        <v>2334</v>
      </c>
      <c r="B704" s="199" t="s">
        <v>2335</v>
      </c>
      <c r="C704" s="207" t="s">
        <v>1042</v>
      </c>
      <c r="D704" s="200">
        <v>288.28899999999999</v>
      </c>
      <c r="E704" s="210"/>
      <c r="F704" s="200"/>
      <c r="G704" s="210"/>
      <c r="H704" s="200"/>
      <c r="I704" s="210"/>
      <c r="J704" s="212" t="s">
        <v>2185</v>
      </c>
    </row>
    <row r="705" spans="1:10" x14ac:dyDescent="0.3">
      <c r="A705" s="224" t="s">
        <v>2336</v>
      </c>
      <c r="B705" s="199" t="s">
        <v>2337</v>
      </c>
      <c r="C705" s="207" t="s">
        <v>574</v>
      </c>
      <c r="D705" s="200">
        <v>677.32600000000002</v>
      </c>
      <c r="E705" s="210"/>
      <c r="F705" s="200"/>
      <c r="G705" s="210"/>
      <c r="H705" s="200"/>
      <c r="I705" s="210"/>
      <c r="J705" s="212" t="s">
        <v>2185</v>
      </c>
    </row>
    <row r="706" spans="1:10" x14ac:dyDescent="0.3">
      <c r="A706" s="224" t="s">
        <v>2338</v>
      </c>
      <c r="B706" s="199" t="s">
        <v>2339</v>
      </c>
      <c r="C706" s="207" t="s">
        <v>1042</v>
      </c>
      <c r="D706" s="200">
        <v>297.39699999999999</v>
      </c>
      <c r="E706" s="210"/>
      <c r="F706" s="200"/>
      <c r="G706" s="210"/>
      <c r="H706" s="200"/>
      <c r="I706" s="210"/>
      <c r="J706" s="212" t="s">
        <v>2185</v>
      </c>
    </row>
    <row r="707" spans="1:10" x14ac:dyDescent="0.3">
      <c r="A707" s="224" t="s">
        <v>2340</v>
      </c>
      <c r="B707" s="199" t="s">
        <v>2341</v>
      </c>
      <c r="C707" s="207" t="s">
        <v>1042</v>
      </c>
      <c r="D707" s="200">
        <v>150.54900000000001</v>
      </c>
      <c r="E707" s="210"/>
      <c r="F707" s="200"/>
      <c r="G707" s="210"/>
      <c r="H707" s="200"/>
      <c r="I707" s="210"/>
      <c r="J707" s="212" t="s">
        <v>2185</v>
      </c>
    </row>
    <row r="708" spans="1:10" x14ac:dyDescent="0.3">
      <c r="A708" s="224" t="s">
        <v>2342</v>
      </c>
      <c r="B708" s="199" t="s">
        <v>2343</v>
      </c>
      <c r="C708" s="207" t="s">
        <v>442</v>
      </c>
      <c r="D708" s="200">
        <v>10480.263000000001</v>
      </c>
      <c r="E708" s="210"/>
      <c r="F708" s="200"/>
      <c r="G708" s="210"/>
      <c r="H708" s="200"/>
      <c r="I708" s="210"/>
      <c r="J708" s="212" t="s">
        <v>2185</v>
      </c>
    </row>
    <row r="709" spans="1:10" x14ac:dyDescent="0.3">
      <c r="A709" s="224" t="s">
        <v>2344</v>
      </c>
      <c r="B709" s="199" t="s">
        <v>2345</v>
      </c>
      <c r="C709" s="207" t="s">
        <v>574</v>
      </c>
      <c r="D709" s="200">
        <v>2968</v>
      </c>
      <c r="E709" s="210"/>
      <c r="F709" s="200"/>
      <c r="G709" s="210"/>
      <c r="H709" s="200"/>
      <c r="I709" s="210"/>
      <c r="J709" s="212" t="s">
        <v>2185</v>
      </c>
    </row>
    <row r="710" spans="1:10" x14ac:dyDescent="0.3">
      <c r="A710" s="224" t="s">
        <v>2346</v>
      </c>
      <c r="B710" s="199" t="s">
        <v>2347</v>
      </c>
      <c r="C710" s="207" t="s">
        <v>1042</v>
      </c>
      <c r="D710" s="200">
        <v>530</v>
      </c>
      <c r="E710" s="210"/>
      <c r="F710" s="200"/>
      <c r="G710" s="210"/>
      <c r="H710" s="200"/>
      <c r="I710" s="210"/>
      <c r="J710" s="212" t="s">
        <v>2185</v>
      </c>
    </row>
    <row r="711" spans="1:10" x14ac:dyDescent="0.3">
      <c r="A711" s="224" t="s">
        <v>2348</v>
      </c>
      <c r="B711" s="199" t="s">
        <v>2349</v>
      </c>
      <c r="C711" s="207" t="s">
        <v>1042</v>
      </c>
      <c r="D711" s="200">
        <v>133.97300000000001</v>
      </c>
      <c r="E711" s="210"/>
      <c r="F711" s="200"/>
      <c r="G711" s="210"/>
      <c r="H711" s="200"/>
      <c r="I711" s="210"/>
      <c r="J711" s="212" t="s">
        <v>2185</v>
      </c>
    </row>
    <row r="712" spans="1:10" x14ac:dyDescent="0.3">
      <c r="A712" s="224" t="s">
        <v>2350</v>
      </c>
      <c r="B712" s="199" t="s">
        <v>2351</v>
      </c>
      <c r="C712" s="207" t="s">
        <v>1042</v>
      </c>
      <c r="D712" s="200">
        <v>175.72300000000001</v>
      </c>
      <c r="E712" s="210"/>
      <c r="F712" s="200"/>
      <c r="G712" s="210"/>
      <c r="H712" s="200"/>
      <c r="I712" s="210"/>
      <c r="J712" s="212" t="s">
        <v>2185</v>
      </c>
    </row>
    <row r="713" spans="1:10" x14ac:dyDescent="0.3">
      <c r="A713" s="224" t="s">
        <v>2352</v>
      </c>
      <c r="B713" s="199" t="s">
        <v>2353</v>
      </c>
      <c r="C713" s="207" t="s">
        <v>1042</v>
      </c>
      <c r="D713" s="200">
        <v>355.87599999999998</v>
      </c>
      <c r="E713" s="210"/>
      <c r="F713" s="200"/>
      <c r="G713" s="210"/>
      <c r="H713" s="200"/>
      <c r="I713" s="210"/>
      <c r="J713" s="212" t="s">
        <v>2185</v>
      </c>
    </row>
    <row r="714" spans="1:10" x14ac:dyDescent="0.3">
      <c r="A714" s="224" t="s">
        <v>2354</v>
      </c>
      <c r="B714" s="199" t="s">
        <v>2355</v>
      </c>
      <c r="C714" s="207" t="s">
        <v>1042</v>
      </c>
      <c r="D714" s="200">
        <v>61.231999999999999</v>
      </c>
      <c r="E714" s="210"/>
      <c r="F714" s="200"/>
      <c r="G714" s="210"/>
      <c r="H714" s="200"/>
      <c r="I714" s="210"/>
      <c r="J714" s="212" t="s">
        <v>2185</v>
      </c>
    </row>
    <row r="715" spans="1:10" x14ac:dyDescent="0.3">
      <c r="A715" s="223" t="s">
        <v>1429</v>
      </c>
      <c r="B715" s="199" t="s">
        <v>1430</v>
      </c>
      <c r="C715" s="206" t="s">
        <v>452</v>
      </c>
      <c r="D715" s="200">
        <v>0.23799999999999999</v>
      </c>
      <c r="E715" s="201"/>
      <c r="F715" s="202"/>
      <c r="G715" s="201"/>
      <c r="H715" s="202"/>
      <c r="I715" s="203"/>
      <c r="J715" s="204" t="s">
        <v>2356</v>
      </c>
    </row>
    <row r="716" spans="1:10" x14ac:dyDescent="0.3">
      <c r="A716" s="223" t="s">
        <v>1431</v>
      </c>
      <c r="B716" s="199" t="s">
        <v>1432</v>
      </c>
      <c r="C716" s="205" t="s">
        <v>199</v>
      </c>
      <c r="D716" s="200">
        <v>24.803999999999998</v>
      </c>
      <c r="E716" s="201"/>
      <c r="F716" s="202"/>
      <c r="G716" s="201"/>
      <c r="H716" s="202"/>
      <c r="I716" s="203"/>
      <c r="J716" s="204" t="s">
        <v>2356</v>
      </c>
    </row>
    <row r="717" spans="1:10" x14ac:dyDescent="0.3">
      <c r="A717" s="223" t="s">
        <v>1433</v>
      </c>
      <c r="B717" s="199" t="s">
        <v>1434</v>
      </c>
      <c r="C717" s="205" t="s">
        <v>199</v>
      </c>
      <c r="D717" s="200">
        <v>45.470999999999997</v>
      </c>
      <c r="E717" s="201"/>
      <c r="F717" s="202"/>
      <c r="G717" s="201"/>
      <c r="H717" s="202"/>
      <c r="I717" s="203"/>
      <c r="J717" s="204"/>
    </row>
    <row r="718" spans="1:10" x14ac:dyDescent="0.3">
      <c r="A718" s="223" t="s">
        <v>1435</v>
      </c>
      <c r="B718" s="199" t="s">
        <v>1436</v>
      </c>
      <c r="C718" s="207" t="s">
        <v>360</v>
      </c>
      <c r="D718" s="200">
        <v>0.80600000000000005</v>
      </c>
      <c r="E718" s="201"/>
      <c r="F718" s="202"/>
      <c r="G718" s="201"/>
      <c r="H718" s="202"/>
      <c r="I718" s="203"/>
      <c r="J718" s="204" t="s">
        <v>2356</v>
      </c>
    </row>
    <row r="719" spans="1:10" x14ac:dyDescent="0.3">
      <c r="A719" s="223" t="s">
        <v>1437</v>
      </c>
      <c r="B719" s="199" t="s">
        <v>1438</v>
      </c>
      <c r="C719" s="207" t="s">
        <v>432</v>
      </c>
      <c r="D719" s="200">
        <v>8.0630000000000006</v>
      </c>
      <c r="E719" s="201"/>
      <c r="F719" s="202"/>
      <c r="G719" s="201"/>
      <c r="H719" s="202"/>
      <c r="I719" s="203"/>
      <c r="J719" s="204" t="s">
        <v>2356</v>
      </c>
    </row>
    <row r="720" spans="1:10" x14ac:dyDescent="0.3">
      <c r="A720" s="223" t="s">
        <v>1602</v>
      </c>
      <c r="B720" s="199" t="s">
        <v>1603</v>
      </c>
      <c r="C720" s="198" t="s">
        <v>199</v>
      </c>
      <c r="D720" s="200">
        <v>31.696000000000002</v>
      </c>
      <c r="E720" s="201"/>
      <c r="F720" s="202"/>
      <c r="G720" s="201"/>
      <c r="H720" s="202"/>
      <c r="I720" s="203"/>
      <c r="J720" s="204" t="s">
        <v>2356</v>
      </c>
    </row>
    <row r="721" spans="1:10" x14ac:dyDescent="0.3">
      <c r="A721" s="223" t="s">
        <v>1439</v>
      </c>
      <c r="B721" s="199" t="s">
        <v>1440</v>
      </c>
      <c r="C721" s="198" t="s">
        <v>396</v>
      </c>
      <c r="D721" s="200">
        <v>136.54300000000001</v>
      </c>
      <c r="E721" s="201"/>
      <c r="F721" s="202"/>
      <c r="G721" s="201"/>
      <c r="H721" s="202"/>
      <c r="I721" s="203"/>
      <c r="J721" s="204" t="s">
        <v>2356</v>
      </c>
    </row>
    <row r="722" spans="1:10" x14ac:dyDescent="0.3">
      <c r="A722" s="224" t="s">
        <v>1441</v>
      </c>
      <c r="B722" s="199" t="s">
        <v>1442</v>
      </c>
      <c r="C722" s="207" t="s">
        <v>452</v>
      </c>
      <c r="D722" s="200">
        <v>0.35799999999999998</v>
      </c>
      <c r="E722" s="210"/>
      <c r="F722" s="200"/>
      <c r="G722" s="210"/>
      <c r="H722" s="200"/>
      <c r="I722" s="210"/>
      <c r="J722" s="204" t="s">
        <v>2356</v>
      </c>
    </row>
    <row r="723" spans="1:10" x14ac:dyDescent="0.3">
      <c r="A723" s="223" t="s">
        <v>1443</v>
      </c>
      <c r="B723" s="199" t="s">
        <v>1444</v>
      </c>
      <c r="C723" s="198" t="s">
        <v>396</v>
      </c>
      <c r="D723" s="200">
        <v>137.65899999999999</v>
      </c>
      <c r="E723" s="201"/>
      <c r="F723" s="202"/>
      <c r="G723" s="201"/>
      <c r="H723" s="202"/>
      <c r="I723" s="203"/>
      <c r="J723" s="204"/>
    </row>
    <row r="724" spans="1:10" x14ac:dyDescent="0.3">
      <c r="A724" s="223" t="s">
        <v>1635</v>
      </c>
      <c r="B724" s="199" t="s">
        <v>1636</v>
      </c>
      <c r="C724" s="198" t="s">
        <v>199</v>
      </c>
      <c r="D724" s="200">
        <v>58.343000000000004</v>
      </c>
      <c r="E724" s="201"/>
      <c r="F724" s="202"/>
      <c r="G724" s="201"/>
      <c r="H724" s="202"/>
      <c r="I724" s="203"/>
      <c r="J724" s="204" t="s">
        <v>2356</v>
      </c>
    </row>
    <row r="725" spans="1:10" x14ac:dyDescent="0.3">
      <c r="A725" s="223" t="s">
        <v>1637</v>
      </c>
      <c r="B725" s="199" t="s">
        <v>1638</v>
      </c>
      <c r="C725" s="198" t="s">
        <v>199</v>
      </c>
      <c r="D725" s="200">
        <v>36.399000000000001</v>
      </c>
      <c r="E725" s="201"/>
      <c r="F725" s="202"/>
      <c r="G725" s="201"/>
      <c r="H725" s="202"/>
      <c r="I725" s="203"/>
      <c r="J725" s="204" t="s">
        <v>2356</v>
      </c>
    </row>
    <row r="726" spans="1:10" x14ac:dyDescent="0.3">
      <c r="A726" s="223" t="s">
        <v>1604</v>
      </c>
      <c r="B726" s="199" t="s">
        <v>1605</v>
      </c>
      <c r="C726" s="198" t="s">
        <v>199</v>
      </c>
      <c r="D726" s="200">
        <v>42.597000000000001</v>
      </c>
      <c r="E726" s="201"/>
      <c r="F726" s="202"/>
      <c r="G726" s="201"/>
      <c r="H726" s="202"/>
      <c r="I726" s="203"/>
      <c r="J726" s="204" t="s">
        <v>2356</v>
      </c>
    </row>
    <row r="727" spans="1:10" x14ac:dyDescent="0.3">
      <c r="A727" s="223" t="s">
        <v>1606</v>
      </c>
      <c r="B727" s="199" t="s">
        <v>1607</v>
      </c>
      <c r="C727" s="198" t="s">
        <v>199</v>
      </c>
      <c r="D727" s="200">
        <v>48.829000000000001</v>
      </c>
      <c r="E727" s="201"/>
      <c r="F727" s="202"/>
      <c r="G727" s="201"/>
      <c r="H727" s="202"/>
      <c r="I727" s="203"/>
      <c r="J727" s="204" t="s">
        <v>2356</v>
      </c>
    </row>
    <row r="728" spans="1:10" x14ac:dyDescent="0.3">
      <c r="A728" s="223" t="s">
        <v>1639</v>
      </c>
      <c r="B728" s="199" t="s">
        <v>1640</v>
      </c>
      <c r="C728" s="198" t="s">
        <v>199</v>
      </c>
      <c r="D728" s="200">
        <v>33.198</v>
      </c>
      <c r="E728" s="201"/>
      <c r="F728" s="202"/>
      <c r="G728" s="201"/>
      <c r="H728" s="202"/>
      <c r="I728" s="203"/>
      <c r="J728" s="204" t="s">
        <v>2356</v>
      </c>
    </row>
    <row r="729" spans="1:10" x14ac:dyDescent="0.3">
      <c r="A729" s="223" t="s">
        <v>1608</v>
      </c>
      <c r="B729" s="199" t="s">
        <v>1609</v>
      </c>
      <c r="C729" s="198" t="s">
        <v>199</v>
      </c>
      <c r="D729" s="200">
        <v>33.372999999999998</v>
      </c>
      <c r="E729" s="201"/>
      <c r="F729" s="202"/>
      <c r="G729" s="201"/>
      <c r="H729" s="202"/>
      <c r="I729" s="203"/>
      <c r="J729" s="204" t="s">
        <v>2356</v>
      </c>
    </row>
    <row r="730" spans="1:10" x14ac:dyDescent="0.3">
      <c r="A730" s="223" t="s">
        <v>1641</v>
      </c>
      <c r="B730" s="199" t="s">
        <v>1642</v>
      </c>
      <c r="C730" s="198" t="s">
        <v>199</v>
      </c>
      <c r="D730" s="200">
        <v>33.694000000000003</v>
      </c>
      <c r="E730" s="201"/>
      <c r="F730" s="202"/>
      <c r="G730" s="201"/>
      <c r="H730" s="202"/>
      <c r="I730" s="203"/>
      <c r="J730" s="204" t="s">
        <v>2356</v>
      </c>
    </row>
    <row r="731" spans="1:10" x14ac:dyDescent="0.3">
      <c r="A731" s="223" t="s">
        <v>1643</v>
      </c>
      <c r="B731" s="199" t="s">
        <v>1644</v>
      </c>
      <c r="C731" s="198" t="s">
        <v>199</v>
      </c>
      <c r="D731" s="200">
        <v>32.683</v>
      </c>
      <c r="E731" s="201"/>
      <c r="F731" s="202"/>
      <c r="G731" s="201"/>
      <c r="H731" s="202"/>
      <c r="I731" s="203"/>
      <c r="J731" s="204" t="s">
        <v>2356</v>
      </c>
    </row>
    <row r="732" spans="1:10" x14ac:dyDescent="0.3">
      <c r="A732" s="223" t="s">
        <v>1645</v>
      </c>
      <c r="B732" s="199" t="s">
        <v>1646</v>
      </c>
      <c r="C732" s="198" t="s">
        <v>396</v>
      </c>
      <c r="D732" s="200">
        <v>89.941999999999993</v>
      </c>
      <c r="E732" s="201"/>
      <c r="F732" s="202"/>
      <c r="G732" s="201"/>
      <c r="H732" s="202"/>
      <c r="I732" s="203"/>
      <c r="J732" s="204" t="s">
        <v>2356</v>
      </c>
    </row>
    <row r="733" spans="1:10" x14ac:dyDescent="0.3">
      <c r="A733" s="223" t="s">
        <v>1975</v>
      </c>
      <c r="B733" s="199" t="s">
        <v>1976</v>
      </c>
      <c r="C733" s="198" t="s">
        <v>199</v>
      </c>
      <c r="D733" s="200">
        <v>33.502000000000002</v>
      </c>
      <c r="E733" s="201"/>
      <c r="F733" s="202"/>
      <c r="G733" s="201"/>
      <c r="H733" s="202"/>
      <c r="I733" s="203"/>
      <c r="J733" s="204" t="s">
        <v>2356</v>
      </c>
    </row>
    <row r="734" spans="1:10" x14ac:dyDescent="0.3">
      <c r="A734" s="223" t="s">
        <v>2002</v>
      </c>
      <c r="B734" s="199" t="s">
        <v>2003</v>
      </c>
      <c r="C734" s="198" t="s">
        <v>396</v>
      </c>
      <c r="D734" s="200">
        <v>146.654</v>
      </c>
      <c r="E734" s="201"/>
      <c r="F734" s="202"/>
      <c r="G734" s="201"/>
      <c r="H734" s="202"/>
      <c r="I734" s="203"/>
      <c r="J734" s="204"/>
    </row>
    <row r="735" spans="1:10" x14ac:dyDescent="0.3">
      <c r="A735" s="223" t="s">
        <v>2004</v>
      </c>
      <c r="B735" s="199" t="s">
        <v>2005</v>
      </c>
      <c r="C735" s="198" t="s">
        <v>199</v>
      </c>
      <c r="D735" s="200">
        <v>49.75</v>
      </c>
      <c r="E735" s="201"/>
      <c r="F735" s="202"/>
      <c r="G735" s="201"/>
      <c r="H735" s="202"/>
      <c r="I735" s="203"/>
      <c r="J735" s="204" t="s">
        <v>2356</v>
      </c>
    </row>
    <row r="736" spans="1:10" ht="27" x14ac:dyDescent="0.3">
      <c r="A736" s="224" t="s">
        <v>2357</v>
      </c>
      <c r="B736" s="199" t="s">
        <v>2358</v>
      </c>
      <c r="C736" s="207" t="s">
        <v>273</v>
      </c>
      <c r="D736" s="200">
        <v>235.95</v>
      </c>
      <c r="E736" s="210"/>
      <c r="F736" s="200"/>
      <c r="G736" s="210"/>
      <c r="H736" s="200"/>
      <c r="I736" s="210"/>
      <c r="J736" s="212" t="s">
        <v>2359</v>
      </c>
    </row>
    <row r="737" spans="1:10" x14ac:dyDescent="0.3">
      <c r="A737" s="224" t="s">
        <v>1445</v>
      </c>
      <c r="B737" s="199" t="s">
        <v>1446</v>
      </c>
      <c r="C737" s="207" t="s">
        <v>204</v>
      </c>
      <c r="D737" s="200">
        <v>18.376999999999999</v>
      </c>
      <c r="E737" s="210"/>
      <c r="F737" s="200"/>
      <c r="G737" s="210"/>
      <c r="H737" s="200"/>
      <c r="I737" s="210"/>
      <c r="J737" s="204"/>
    </row>
    <row r="738" spans="1:10" x14ac:dyDescent="0.3">
      <c r="A738" s="223" t="s">
        <v>1447</v>
      </c>
      <c r="B738" s="199" t="s">
        <v>1448</v>
      </c>
      <c r="C738" s="198" t="s">
        <v>204</v>
      </c>
      <c r="D738" s="200">
        <v>30.521000000000001</v>
      </c>
      <c r="E738" s="201"/>
      <c r="F738" s="202"/>
      <c r="G738" s="201"/>
      <c r="H738" s="202"/>
      <c r="I738" s="203"/>
      <c r="J738" s="204"/>
    </row>
    <row r="739" spans="1:10" x14ac:dyDescent="0.3">
      <c r="A739" s="223" t="s">
        <v>1449</v>
      </c>
      <c r="B739" s="199" t="s">
        <v>1450</v>
      </c>
      <c r="C739" s="198" t="s">
        <v>204</v>
      </c>
      <c r="D739" s="200">
        <v>45.780999999999999</v>
      </c>
      <c r="E739" s="201"/>
      <c r="F739" s="202"/>
      <c r="G739" s="201"/>
      <c r="H739" s="202"/>
      <c r="I739" s="203"/>
      <c r="J739" s="204"/>
    </row>
    <row r="740" spans="1:10" x14ac:dyDescent="0.3">
      <c r="A740" s="223" t="s">
        <v>1451</v>
      </c>
      <c r="B740" s="199" t="s">
        <v>1452</v>
      </c>
      <c r="C740" s="198" t="s">
        <v>204</v>
      </c>
      <c r="D740" s="200">
        <v>7.4999999999999997E-2</v>
      </c>
      <c r="E740" s="201"/>
      <c r="F740" s="202"/>
      <c r="G740" s="201"/>
      <c r="H740" s="202"/>
      <c r="I740" s="203"/>
      <c r="J740" s="204"/>
    </row>
    <row r="741" spans="1:10" x14ac:dyDescent="0.3">
      <c r="A741" s="223" t="s">
        <v>1612</v>
      </c>
      <c r="B741" s="199" t="s">
        <v>1613</v>
      </c>
      <c r="C741" s="198" t="s">
        <v>204</v>
      </c>
      <c r="D741" s="200">
        <v>0.14799999999999999</v>
      </c>
      <c r="E741" s="201"/>
      <c r="F741" s="202"/>
      <c r="G741" s="201"/>
      <c r="H741" s="202"/>
      <c r="I741" s="203"/>
      <c r="J741" s="203"/>
    </row>
    <row r="742" spans="1:10" x14ac:dyDescent="0.3">
      <c r="A742" s="223" t="s">
        <v>1453</v>
      </c>
      <c r="B742" s="199" t="s">
        <v>1454</v>
      </c>
      <c r="C742" s="198" t="s">
        <v>204</v>
      </c>
      <c r="D742" s="200">
        <v>0.20599999999999999</v>
      </c>
      <c r="E742" s="201"/>
      <c r="F742" s="202"/>
      <c r="G742" s="201"/>
      <c r="H742" s="202"/>
      <c r="I742" s="203"/>
      <c r="J742" s="204"/>
    </row>
    <row r="743" spans="1:10" x14ac:dyDescent="0.3">
      <c r="A743" s="223" t="s">
        <v>1455</v>
      </c>
      <c r="B743" s="199" t="s">
        <v>1456</v>
      </c>
      <c r="C743" s="198" t="s">
        <v>204</v>
      </c>
      <c r="D743" s="200">
        <v>1.4930000000000001</v>
      </c>
      <c r="E743" s="201"/>
      <c r="F743" s="202"/>
      <c r="G743" s="201"/>
      <c r="H743" s="202"/>
      <c r="I743" s="203"/>
      <c r="J743" s="204"/>
    </row>
    <row r="744" spans="1:10" x14ac:dyDescent="0.3">
      <c r="A744" s="223" t="s">
        <v>1457</v>
      </c>
      <c r="B744" s="199" t="s">
        <v>1458</v>
      </c>
      <c r="C744" s="198" t="s">
        <v>204</v>
      </c>
      <c r="D744" s="200">
        <v>0.47599999999999998</v>
      </c>
      <c r="E744" s="201"/>
      <c r="F744" s="202"/>
      <c r="G744" s="201"/>
      <c r="H744" s="202"/>
      <c r="I744" s="203"/>
      <c r="J744" s="204"/>
    </row>
    <row r="745" spans="1:10" x14ac:dyDescent="0.3">
      <c r="A745" s="223" t="s">
        <v>1459</v>
      </c>
      <c r="B745" s="199" t="s">
        <v>1460</v>
      </c>
      <c r="C745" s="198" t="s">
        <v>204</v>
      </c>
      <c r="D745" s="200">
        <v>0.17399999999999999</v>
      </c>
      <c r="E745" s="201"/>
      <c r="F745" s="202"/>
      <c r="G745" s="201"/>
      <c r="H745" s="202"/>
      <c r="I745" s="203"/>
      <c r="J745" s="204"/>
    </row>
    <row r="746" spans="1:10" x14ac:dyDescent="0.3">
      <c r="A746" s="223" t="s">
        <v>1461</v>
      </c>
      <c r="B746" s="199" t="s">
        <v>1462</v>
      </c>
      <c r="C746" s="198" t="s">
        <v>1463</v>
      </c>
      <c r="D746" s="200">
        <v>1825.8330000000001</v>
      </c>
      <c r="E746" s="201"/>
      <c r="F746" s="202"/>
      <c r="G746" s="201"/>
      <c r="H746" s="202"/>
      <c r="I746" s="203"/>
      <c r="J746" s="204"/>
    </row>
    <row r="747" spans="1:10" x14ac:dyDescent="0.3">
      <c r="A747" s="234" t="s">
        <v>1464</v>
      </c>
      <c r="B747" s="235" t="s">
        <v>1465</v>
      </c>
      <c r="C747" s="236" t="s">
        <v>1466</v>
      </c>
      <c r="D747" s="237">
        <v>1825.8330000000001</v>
      </c>
      <c r="E747" s="238"/>
      <c r="F747" s="239"/>
      <c r="G747" s="238"/>
      <c r="H747" s="239"/>
      <c r="I747" s="240"/>
      <c r="J747" s="241"/>
    </row>
  </sheetData>
  <mergeCells count="7">
    <mergeCell ref="A8:J8"/>
    <mergeCell ref="A1:J1"/>
    <mergeCell ref="A2:J2"/>
    <mergeCell ref="A3:J3"/>
    <mergeCell ref="A4:J4"/>
    <mergeCell ref="A5:J5"/>
    <mergeCell ref="A6:J7"/>
  </mergeCells>
  <conditionalFormatting sqref="A1:A8">
    <cfRule type="duplicateValues" dxfId="16" priority="1" stopIfTrue="1"/>
  </conditionalFormatting>
  <conditionalFormatting sqref="A9">
    <cfRule type="duplicateValues" dxfId="15" priority="2" stopIfTrue="1"/>
  </conditionalFormatting>
  <conditionalFormatting sqref="A34">
    <cfRule type="duplicateValues" dxfId="14" priority="6" stopIfTrue="1"/>
  </conditionalFormatting>
  <conditionalFormatting sqref="A47">
    <cfRule type="duplicateValues" dxfId="13" priority="3" stopIfTrue="1"/>
  </conditionalFormatting>
  <conditionalFormatting sqref="A63">
    <cfRule type="duplicateValues" dxfId="12" priority="13" stopIfTrue="1"/>
  </conditionalFormatting>
  <conditionalFormatting sqref="A574">
    <cfRule type="duplicateValues" dxfId="11" priority="4" stopIfTrue="1"/>
  </conditionalFormatting>
  <conditionalFormatting sqref="A645">
    <cfRule type="duplicateValues" dxfId="10" priority="15" stopIfTrue="1"/>
  </conditionalFormatting>
  <conditionalFormatting sqref="A646:A649">
    <cfRule type="duplicateValues" dxfId="9" priority="14" stopIfTrue="1"/>
  </conditionalFormatting>
  <conditionalFormatting sqref="A650">
    <cfRule type="duplicateValues" dxfId="8" priority="12" stopIfTrue="1"/>
  </conditionalFormatting>
  <conditionalFormatting sqref="A651:A654">
    <cfRule type="duplicateValues" dxfId="7" priority="11" stopIfTrue="1"/>
  </conditionalFormatting>
  <conditionalFormatting sqref="A655:A659">
    <cfRule type="duplicateValues" dxfId="6" priority="10" stopIfTrue="1"/>
  </conditionalFormatting>
  <conditionalFormatting sqref="A660:A661">
    <cfRule type="duplicateValues" dxfId="5" priority="9" stopIfTrue="1"/>
  </conditionalFormatting>
  <conditionalFormatting sqref="A662:A665">
    <cfRule type="duplicateValues" dxfId="4" priority="17" stopIfTrue="1"/>
  </conditionalFormatting>
  <conditionalFormatting sqref="A666">
    <cfRule type="duplicateValues" dxfId="3" priority="8" stopIfTrue="1"/>
  </conditionalFormatting>
  <conditionalFormatting sqref="A667">
    <cfRule type="duplicateValues" dxfId="2" priority="7" stopIfTrue="1"/>
  </conditionalFormatting>
  <conditionalFormatting sqref="A668">
    <cfRule type="duplicateValues" dxfId="1" priority="5" stopIfTrue="1"/>
  </conditionalFormatting>
  <conditionalFormatting sqref="A669:A65536 A10:A33 A35:A46 A64:A573 A575:A644 A48:A62">
    <cfRule type="duplicateValues" dxfId="0" priority="16" stopIfTrue="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C48AC-C084-41FF-A7EE-C1D7563F26E1}">
  <dimension ref="A1:CN113"/>
  <sheetViews>
    <sheetView zoomScale="110" zoomScaleNormal="110" workbookViewId="0">
      <pane xSplit="1" ySplit="1" topLeftCell="CN2" activePane="bottomRight" state="frozen"/>
      <selection pane="topRight" activeCell="B1" sqref="B1"/>
      <selection pane="bottomLeft" activeCell="A2" sqref="A2"/>
      <selection pane="bottomRight" activeCell="CN93" sqref="CN93"/>
    </sheetView>
  </sheetViews>
  <sheetFormatPr defaultRowHeight="14.4" x14ac:dyDescent="0.3"/>
  <cols>
    <col min="1" max="1" width="62.21875" bestFit="1" customWidth="1"/>
    <col min="2" max="12" width="13.5546875" customWidth="1"/>
    <col min="13" max="13" width="13.5546875" style="57" customWidth="1"/>
    <col min="14" max="19" width="13.5546875" customWidth="1"/>
    <col min="20" max="20" width="15.44140625" bestFit="1" customWidth="1"/>
    <col min="21" max="21" width="15.21875" customWidth="1"/>
    <col min="22" max="25" width="13.5546875" customWidth="1"/>
    <col min="26" max="26" width="16.77734375" bestFit="1" customWidth="1"/>
    <col min="27" max="31" width="13.5546875" customWidth="1"/>
    <col min="32" max="32" width="14.5546875" bestFit="1" customWidth="1"/>
    <col min="33" max="37" width="13.5546875" customWidth="1"/>
    <col min="38" max="38" width="14.5546875" bestFit="1" customWidth="1"/>
    <col min="39" max="49" width="11.5546875" customWidth="1"/>
    <col min="50" max="50" width="14.44140625" customWidth="1"/>
    <col min="51" max="73" width="11.5546875" customWidth="1"/>
    <col min="74" max="74" width="21.5546875" bestFit="1" customWidth="1"/>
    <col min="75" max="79" width="11.5546875" customWidth="1"/>
    <col min="80" max="80" width="14.44140625" bestFit="1" customWidth="1"/>
    <col min="81" max="81" width="16.5546875" customWidth="1"/>
    <col min="82" max="82" width="11" bestFit="1" customWidth="1"/>
    <col min="83" max="85" width="11.5546875" customWidth="1"/>
    <col min="86" max="86" width="14.44140625" bestFit="1" customWidth="1"/>
    <col min="87" max="88" width="11.5546875" customWidth="1"/>
    <col min="89" max="89" width="14.21875" bestFit="1" customWidth="1"/>
    <col min="90" max="91" width="11.5546875" customWidth="1"/>
    <col min="92" max="92" width="255.5546875" bestFit="1" customWidth="1"/>
  </cols>
  <sheetData>
    <row r="1" spans="1:92" ht="72.599999999999994" thickBot="1" x14ac:dyDescent="0.4">
      <c r="A1" s="134" t="s">
        <v>2721</v>
      </c>
      <c r="B1" s="471">
        <v>42370</v>
      </c>
      <c r="C1" s="471"/>
      <c r="D1" s="471"/>
      <c r="E1" s="471"/>
      <c r="F1" s="471"/>
      <c r="G1" s="471"/>
      <c r="H1" s="471">
        <v>42552</v>
      </c>
      <c r="I1" s="471"/>
      <c r="J1" s="471"/>
      <c r="K1" s="471"/>
      <c r="L1" s="471"/>
      <c r="M1" s="471"/>
      <c r="N1" s="471">
        <v>42736</v>
      </c>
      <c r="O1" s="471"/>
      <c r="P1" s="471"/>
      <c r="Q1" s="471"/>
      <c r="R1" s="471"/>
      <c r="S1" s="471"/>
      <c r="T1" s="471">
        <v>42933</v>
      </c>
      <c r="U1" s="471"/>
      <c r="V1" s="471"/>
      <c r="W1" s="471"/>
      <c r="X1" s="471"/>
      <c r="Y1" s="471"/>
      <c r="Z1" s="489">
        <v>43101</v>
      </c>
      <c r="AA1" s="490"/>
      <c r="AB1" s="490"/>
      <c r="AC1" s="490"/>
      <c r="AD1" s="490"/>
      <c r="AE1" s="491"/>
      <c r="AF1" s="489">
        <v>43282</v>
      </c>
      <c r="AG1" s="490"/>
      <c r="AH1" s="490"/>
      <c r="AI1" s="490"/>
      <c r="AJ1" s="490"/>
      <c r="AK1" s="491"/>
      <c r="AL1" s="486">
        <v>43466</v>
      </c>
      <c r="AM1" s="486"/>
      <c r="AN1" s="486"/>
      <c r="AO1" s="486"/>
      <c r="AP1" s="486"/>
      <c r="AQ1" s="487"/>
      <c r="AR1" s="488">
        <v>43647</v>
      </c>
      <c r="AS1" s="486"/>
      <c r="AT1" s="486"/>
      <c r="AU1" s="486"/>
      <c r="AV1" s="486"/>
      <c r="AW1" s="487"/>
      <c r="AX1" s="486">
        <v>43831</v>
      </c>
      <c r="AY1" s="486"/>
      <c r="AZ1" s="486"/>
      <c r="BA1" s="486"/>
      <c r="BB1" s="486"/>
      <c r="BC1" s="486"/>
      <c r="BD1" s="488">
        <v>44013</v>
      </c>
      <c r="BE1" s="486"/>
      <c r="BF1" s="486"/>
      <c r="BG1" s="486"/>
      <c r="BH1" s="486"/>
      <c r="BI1" s="487"/>
      <c r="BJ1" s="485">
        <v>44197</v>
      </c>
      <c r="BK1" s="471"/>
      <c r="BL1" s="471"/>
      <c r="BM1" s="471"/>
      <c r="BN1" s="471"/>
      <c r="BO1" s="471"/>
      <c r="BP1" s="485">
        <v>44378</v>
      </c>
      <c r="BQ1" s="471"/>
      <c r="BR1" s="471"/>
      <c r="BS1" s="471"/>
      <c r="BT1" s="471"/>
      <c r="BU1" s="471"/>
      <c r="BV1" s="485">
        <v>44562</v>
      </c>
      <c r="BW1" s="471"/>
      <c r="BX1" s="471"/>
      <c r="BY1" s="471"/>
      <c r="BZ1" s="471"/>
      <c r="CA1" s="472"/>
      <c r="CB1" s="485">
        <v>44764</v>
      </c>
      <c r="CC1" s="471"/>
      <c r="CD1" s="471"/>
      <c r="CE1" s="471"/>
      <c r="CF1" s="471"/>
      <c r="CG1" s="472"/>
      <c r="CH1" s="485">
        <v>44949</v>
      </c>
      <c r="CI1" s="471"/>
      <c r="CJ1" s="471"/>
      <c r="CK1" s="471"/>
      <c r="CL1" s="471"/>
      <c r="CM1" s="471"/>
    </row>
    <row r="2" spans="1:92" ht="87" thickBot="1" x14ac:dyDescent="0.35">
      <c r="A2" s="82" t="s">
        <v>0</v>
      </c>
      <c r="B2" s="282" t="s">
        <v>2655</v>
      </c>
      <c r="C2" s="152" t="s">
        <v>2656</v>
      </c>
      <c r="D2" s="152" t="s">
        <v>2657</v>
      </c>
      <c r="E2" s="152" t="s">
        <v>2658</v>
      </c>
      <c r="F2" s="152" t="s">
        <v>2659</v>
      </c>
      <c r="G2" s="152" t="s">
        <v>2660</v>
      </c>
      <c r="H2" s="152" t="s">
        <v>2643</v>
      </c>
      <c r="I2" s="152" t="s">
        <v>2650</v>
      </c>
      <c r="J2" s="152" t="s">
        <v>2651</v>
      </c>
      <c r="K2" s="152" t="s">
        <v>2652</v>
      </c>
      <c r="L2" s="152" t="s">
        <v>2653</v>
      </c>
      <c r="M2" s="152" t="s">
        <v>2654</v>
      </c>
      <c r="N2" s="152" t="s">
        <v>2645</v>
      </c>
      <c r="O2" s="152" t="s">
        <v>2646</v>
      </c>
      <c r="P2" s="152" t="s">
        <v>2644</v>
      </c>
      <c r="Q2" s="152" t="s">
        <v>2647</v>
      </c>
      <c r="R2" s="152" t="s">
        <v>2648</v>
      </c>
      <c r="S2" s="353" t="s">
        <v>2649</v>
      </c>
      <c r="T2" s="352" t="s">
        <v>2436</v>
      </c>
      <c r="U2" s="152" t="s">
        <v>2437</v>
      </c>
      <c r="V2" s="152" t="s">
        <v>2441</v>
      </c>
      <c r="W2" s="152" t="s">
        <v>2438</v>
      </c>
      <c r="X2" s="152" t="s">
        <v>2439</v>
      </c>
      <c r="Y2" s="151" t="s">
        <v>2440</v>
      </c>
      <c r="Z2" s="385" t="s">
        <v>2702</v>
      </c>
      <c r="AA2" s="152" t="s">
        <v>2703</v>
      </c>
      <c r="AB2" s="152" t="s">
        <v>2704</v>
      </c>
      <c r="AC2" s="152" t="s">
        <v>2705</v>
      </c>
      <c r="AD2" s="152" t="s">
        <v>2706</v>
      </c>
      <c r="AE2" s="386" t="s">
        <v>2707</v>
      </c>
      <c r="AF2" s="385" t="s">
        <v>2708</v>
      </c>
      <c r="AG2" s="352" t="s">
        <v>2709</v>
      </c>
      <c r="AH2" s="352" t="s">
        <v>2710</v>
      </c>
      <c r="AI2" s="352" t="s">
        <v>2711</v>
      </c>
      <c r="AJ2" s="352" t="s">
        <v>2712</v>
      </c>
      <c r="AK2" s="387" t="s">
        <v>2713</v>
      </c>
      <c r="AL2" s="88" t="s">
        <v>1871</v>
      </c>
      <c r="AM2" s="61" t="s">
        <v>1725</v>
      </c>
      <c r="AN2" s="61" t="s">
        <v>1726</v>
      </c>
      <c r="AO2" s="61" t="s">
        <v>1727</v>
      </c>
      <c r="AP2" s="61" t="s">
        <v>1728</v>
      </c>
      <c r="AQ2" s="68" t="s">
        <v>1729</v>
      </c>
      <c r="AR2" s="89" t="s">
        <v>1872</v>
      </c>
      <c r="AS2" s="61" t="s">
        <v>1730</v>
      </c>
      <c r="AT2" s="61" t="s">
        <v>1731</v>
      </c>
      <c r="AU2" s="61" t="s">
        <v>1732</v>
      </c>
      <c r="AV2" s="61" t="s">
        <v>1733</v>
      </c>
      <c r="AW2" s="68" t="s">
        <v>1734</v>
      </c>
      <c r="AX2" s="88" t="s">
        <v>1873</v>
      </c>
      <c r="AY2" s="61" t="s">
        <v>1735</v>
      </c>
      <c r="AZ2" s="61" t="s">
        <v>1736</v>
      </c>
      <c r="BA2" s="61" t="s">
        <v>1737</v>
      </c>
      <c r="BB2" s="61" t="s">
        <v>1738</v>
      </c>
      <c r="BC2" s="63" t="s">
        <v>1739</v>
      </c>
      <c r="BD2" s="89" t="s">
        <v>1874</v>
      </c>
      <c r="BE2" s="61" t="s">
        <v>1720</v>
      </c>
      <c r="BF2" s="61" t="s">
        <v>1721</v>
      </c>
      <c r="BG2" s="61" t="s">
        <v>1722</v>
      </c>
      <c r="BH2" s="61" t="s">
        <v>1723</v>
      </c>
      <c r="BI2" s="68" t="s">
        <v>1724</v>
      </c>
      <c r="BJ2" s="89" t="s">
        <v>2035</v>
      </c>
      <c r="BK2" s="61" t="s">
        <v>2036</v>
      </c>
      <c r="BL2" s="61" t="s">
        <v>2037</v>
      </c>
      <c r="BM2" s="61" t="s">
        <v>2038</v>
      </c>
      <c r="BN2" s="61" t="s">
        <v>2039</v>
      </c>
      <c r="BO2" s="63" t="s">
        <v>2040</v>
      </c>
      <c r="BP2" s="152" t="s">
        <v>2042</v>
      </c>
      <c r="BQ2" s="151" t="s">
        <v>2043</v>
      </c>
      <c r="BR2" s="151" t="s">
        <v>2044</v>
      </c>
      <c r="BS2" s="151" t="s">
        <v>2045</v>
      </c>
      <c r="BT2" s="151" t="s">
        <v>2046</v>
      </c>
      <c r="BU2" s="151" t="s">
        <v>2041</v>
      </c>
      <c r="BV2" s="153" t="s">
        <v>2047</v>
      </c>
      <c r="BW2" s="154" t="s">
        <v>2048</v>
      </c>
      <c r="BX2" s="154" t="s">
        <v>2049</v>
      </c>
      <c r="BY2" s="154" t="s">
        <v>2050</v>
      </c>
      <c r="BZ2" s="154" t="s">
        <v>2051</v>
      </c>
      <c r="CA2" s="156" t="s">
        <v>2052</v>
      </c>
      <c r="CB2" s="187" t="s">
        <v>2134</v>
      </c>
      <c r="CC2" s="187" t="s">
        <v>2135</v>
      </c>
      <c r="CD2" s="187" t="s">
        <v>2136</v>
      </c>
      <c r="CE2" s="187" t="s">
        <v>2137</v>
      </c>
      <c r="CF2" s="187" t="s">
        <v>2138</v>
      </c>
      <c r="CG2" s="246" t="s">
        <v>2139</v>
      </c>
      <c r="CH2" s="187" t="s">
        <v>2370</v>
      </c>
      <c r="CI2" s="187" t="s">
        <v>2371</v>
      </c>
      <c r="CJ2" s="187" t="s">
        <v>2372</v>
      </c>
      <c r="CK2" s="187" t="s">
        <v>2373</v>
      </c>
      <c r="CL2" s="187" t="s">
        <v>2374</v>
      </c>
      <c r="CM2" s="187" t="s">
        <v>2375</v>
      </c>
      <c r="CN2" s="155" t="s">
        <v>194</v>
      </c>
    </row>
    <row r="3" spans="1:92" x14ac:dyDescent="0.3">
      <c r="A3" s="138" t="s">
        <v>9</v>
      </c>
      <c r="B3" s="57" t="s">
        <v>2446</v>
      </c>
      <c r="C3" s="57" t="s">
        <v>1472</v>
      </c>
      <c r="D3" s="57">
        <v>20</v>
      </c>
      <c r="E3" s="57">
        <v>3.1569416666699999</v>
      </c>
      <c r="F3" s="57">
        <f>IFERROR(Table6[[#This Row],[Redbook WAC price per tablet/capsule (Jan 2016)]]/Table6[[#This Row],[Redbook package strength (mg) (Jan 2016)]], "")</f>
        <v>0.1578470833335</v>
      </c>
      <c r="G3" s="349" t="s">
        <v>1741</v>
      </c>
      <c r="H3" s="57" t="s">
        <v>2446</v>
      </c>
      <c r="I3" s="57" t="s">
        <v>1472</v>
      </c>
      <c r="J3" s="57">
        <v>20</v>
      </c>
      <c r="K3" s="57">
        <v>3.1569416666699999</v>
      </c>
      <c r="L3" s="57">
        <f>IFERROR(Table6[[#This Row],[Redbook WAC price per tablet/capsule (Jul 2016)]]/Table6[[#This Row],[Redbook package strength (mg) (Jul 2016)]], "")</f>
        <v>0.1578470833335</v>
      </c>
      <c r="M3" s="349" t="s">
        <v>1741</v>
      </c>
      <c r="N3" s="57" t="s">
        <v>2446</v>
      </c>
      <c r="O3" s="57" t="s">
        <v>1472</v>
      </c>
      <c r="P3" s="57">
        <v>20</v>
      </c>
      <c r="Q3" s="57">
        <v>3.1569416666699999</v>
      </c>
      <c r="R3" s="57">
        <f>IFERROR(Table6[[#This Row],[Redbook WAC price per tablet/capsule (Jan 2017)]]/Table6[[#This Row],[Redbook package strength (mg) (Jan 2017)]], "")</f>
        <v>0.1578470833335</v>
      </c>
      <c r="S3" s="74" t="s">
        <v>1741</v>
      </c>
      <c r="T3" s="57" t="s">
        <v>2446</v>
      </c>
      <c r="U3" s="57" t="s">
        <v>1472</v>
      </c>
      <c r="V3" s="57">
        <v>20</v>
      </c>
      <c r="W3" s="284">
        <f>(3.78833/1.2)</f>
        <v>3.156941666666667</v>
      </c>
      <c r="X3" s="284">
        <f>IFERROR(Table6[[#This Row],[Redbook WAC price per tablet/capsule (Jul 2017)]]/Table6[[#This Row],[Redbook package strength (mg) (Jul 2017)]], "")</f>
        <v>0.15784708333333336</v>
      </c>
      <c r="Y3" s="57" t="s">
        <v>1741</v>
      </c>
      <c r="Z3" s="388" t="s">
        <v>2446</v>
      </c>
      <c r="AA3" s="389" t="s">
        <v>1472</v>
      </c>
      <c r="AB3" s="158">
        <v>20</v>
      </c>
      <c r="AC3" s="390">
        <v>3.156941666666667</v>
      </c>
      <c r="AD3" s="390">
        <f>Table6[[#This Row],[Redbook WAC price per tablet/capsule (Jan 2018)]]/Table6[[#This Row],[Redbook package strength (mg) (Jan 2018)]]</f>
        <v>0.15784708333333336</v>
      </c>
      <c r="AE3" s="391" t="s">
        <v>1741</v>
      </c>
      <c r="AF3" s="388" t="s">
        <v>2714</v>
      </c>
      <c r="AG3" s="389" t="s">
        <v>1472</v>
      </c>
      <c r="AH3" s="397">
        <v>20</v>
      </c>
      <c r="AI3" s="399">
        <v>3.1566666666666667</v>
      </c>
      <c r="AJ3" s="399">
        <f>Table6[[#This Row],[Redbook WAC price per tablet/capsule (Jul 2018)]]/Table6[[#This Row],[Redbook package strength (mg) (Jul 2018)]]</f>
        <v>0.15783333333333333</v>
      </c>
      <c r="AK3" s="391" t="s">
        <v>1741</v>
      </c>
      <c r="AL3" s="57" t="s">
        <v>1740</v>
      </c>
      <c r="AM3" s="57" t="s">
        <v>1472</v>
      </c>
      <c r="AN3" s="57">
        <v>20</v>
      </c>
      <c r="AO3" s="58">
        <v>0.76170000000000004</v>
      </c>
      <c r="AP3" s="58">
        <f>IFERROR(Table6[[#This Row],[Redbook WAC price per tablet/capsule (Jan 2019)]]/Table6[[#This Row],[Redbook package strength (mg) (Jan 2019)]], "")</f>
        <v>3.8085000000000001E-2</v>
      </c>
      <c r="AQ3" s="74" t="s">
        <v>1741</v>
      </c>
      <c r="AR3" s="73" t="s">
        <v>1740</v>
      </c>
      <c r="AS3" s="57" t="s">
        <v>1472</v>
      </c>
      <c r="AT3" s="57">
        <v>20</v>
      </c>
      <c r="AU3" s="58">
        <v>0.76170000000000004</v>
      </c>
      <c r="AV3" s="58">
        <f>IFERROR(Table6[[#This Row],[Redbook WAC price per tablet/capsule (Jul 2019)]]/Table6[[#This Row],[Redbook package strength (mg) (Jul 2019)]], "")</f>
        <v>3.8085000000000001E-2</v>
      </c>
      <c r="AW3" s="74" t="s">
        <v>1741</v>
      </c>
      <c r="AX3" s="73" t="s">
        <v>1740</v>
      </c>
      <c r="AY3" s="57" t="s">
        <v>1472</v>
      </c>
      <c r="AZ3" s="57">
        <v>20</v>
      </c>
      <c r="BA3" s="59">
        <v>0.76170000000000004</v>
      </c>
      <c r="BB3" s="59">
        <f>IFERROR(Table6[[#This Row],[Redbook WAC price per tablet/capsule (Jan 2020)]]/Table6[[#This Row],[Redbook package strength (mg) (Jan 2020)]], "")</f>
        <v>3.8085000000000001E-2</v>
      </c>
      <c r="BC3" t="s">
        <v>1741</v>
      </c>
      <c r="BD3" s="73" t="s">
        <v>1740</v>
      </c>
      <c r="BE3" s="57" t="s">
        <v>1472</v>
      </c>
      <c r="BF3" s="57">
        <v>20</v>
      </c>
      <c r="BG3" s="58">
        <v>0.38100000000000001</v>
      </c>
      <c r="BH3" s="58">
        <f>IFERROR(Table6[[#This Row],[Redbook WAC price per tablet/capsule (Jul 2020)]]/Table6[[#This Row],[Redbook package strength (mg) (Jul 2020)]], "")</f>
        <v>1.9050000000000001E-2</v>
      </c>
      <c r="BI3" s="74" t="s">
        <v>1741</v>
      </c>
      <c r="BJ3" s="57" t="s">
        <v>1740</v>
      </c>
      <c r="BK3" s="57" t="s">
        <v>1472</v>
      </c>
      <c r="BL3" s="57">
        <v>20</v>
      </c>
      <c r="BM3" s="58">
        <v>0.38100000000000001</v>
      </c>
      <c r="BN3" s="58">
        <f>IFERROR(Table6[[#This Row],[Redbook WAC price per tablet/capsule (Jan 2021)]]/Table6[[#This Row],[Redbook package strength (mg) (Jan 2021)]], "")</f>
        <v>1.9050000000000001E-2</v>
      </c>
      <c r="BO3" s="57" t="s">
        <v>1741</v>
      </c>
      <c r="BP3" s="73" t="s">
        <v>1740</v>
      </c>
      <c r="BQ3" s="57" t="s">
        <v>1472</v>
      </c>
      <c r="BR3" s="57">
        <v>20</v>
      </c>
      <c r="BS3" s="58">
        <v>0.38100000000000001</v>
      </c>
      <c r="BT3" s="58">
        <f>IFERROR(Table6[[#This Row],[Redbook WAC price per tablet/capsule (Jul 2021)]]/Table6[[#This Row],[Redbook package strength (mg) (Jul 2021)]], "")</f>
        <v>1.9050000000000001E-2</v>
      </c>
      <c r="BU3" s="57" t="s">
        <v>1741</v>
      </c>
      <c r="BV3" s="73" t="s">
        <v>1740</v>
      </c>
      <c r="BW3" s="57" t="s">
        <v>1472</v>
      </c>
      <c r="BX3" s="57">
        <v>20</v>
      </c>
      <c r="BY3" s="58">
        <v>0.38100000000000001</v>
      </c>
      <c r="BZ3" s="58">
        <f>IFERROR(Table6[[#This Row],[Redbook WAC price per tablet/capsule (Jan 2022)]]/Table6[[#This Row],[Redbook package strength (mg) (Jan 2022)]], "")</f>
        <v>1.9050000000000001E-2</v>
      </c>
      <c r="CA3" s="74" t="s">
        <v>1741</v>
      </c>
      <c r="CB3" s="57" t="s">
        <v>1740</v>
      </c>
      <c r="CC3" s="57" t="s">
        <v>1472</v>
      </c>
      <c r="CD3" s="57">
        <v>20</v>
      </c>
      <c r="CE3" s="58">
        <v>0.38100000000000001</v>
      </c>
      <c r="CF3" s="58">
        <f>IFERROR(Table6[[#This Row],[Redbook WAC price per tablet/capsule (Jul 2022)]]/Table6[[#This Row],[Redbook package strength (mg) (Jul 2022)]], "")</f>
        <v>1.9050000000000001E-2</v>
      </c>
      <c r="CG3" s="74" t="s">
        <v>1741</v>
      </c>
      <c r="CH3" s="57" t="s">
        <v>1740</v>
      </c>
      <c r="CI3" s="57" t="s">
        <v>1472</v>
      </c>
      <c r="CJ3" s="57">
        <v>20</v>
      </c>
      <c r="CK3" s="58">
        <v>0.38</v>
      </c>
      <c r="CL3" s="58">
        <f>IFERROR(Table6[[#This Row],[Redbook WAC price per tablet/capsule (Jan 2023)]]/Table6[[#This Row],[Redbook package strength (mg) (Jan 2023)]], "")</f>
        <v>1.9E-2</v>
      </c>
      <c r="CM3" s="57" t="s">
        <v>1741</v>
      </c>
      <c r="CN3" t="s">
        <v>2140</v>
      </c>
    </row>
    <row r="4" spans="1:92" x14ac:dyDescent="0.3">
      <c r="A4" s="84" t="s">
        <v>10</v>
      </c>
      <c r="B4" s="57" t="s">
        <v>1744</v>
      </c>
      <c r="C4" s="57" t="s">
        <v>1743</v>
      </c>
      <c r="D4" s="57">
        <v>60</v>
      </c>
      <c r="E4" s="57">
        <v>37.766666666699997</v>
      </c>
      <c r="F4" s="57">
        <f>IFERROR(Table6[[#This Row],[Redbook WAC price per tablet/capsule (Jan 2016)]]/Table6[[#This Row],[Redbook package strength (mg) (Jan 2016)]], "")</f>
        <v>0.62944444444499992</v>
      </c>
      <c r="G4" s="74" t="s">
        <v>1741</v>
      </c>
      <c r="H4" s="57" t="s">
        <v>1744</v>
      </c>
      <c r="I4" s="57" t="s">
        <v>1743</v>
      </c>
      <c r="J4" s="57">
        <v>60</v>
      </c>
      <c r="K4" s="57">
        <v>39.664999999999999</v>
      </c>
      <c r="L4" s="57">
        <f>IFERROR(Table6[[#This Row],[Redbook WAC price per tablet/capsule (Jul 2016)]]/Table6[[#This Row],[Redbook package strength (mg) (Jul 2016)]], "")</f>
        <v>0.66108333333333336</v>
      </c>
      <c r="M4" s="74" t="s">
        <v>1741</v>
      </c>
      <c r="N4" s="57" t="s">
        <v>1744</v>
      </c>
      <c r="O4" s="57" t="s">
        <v>1743</v>
      </c>
      <c r="P4" s="57">
        <v>60</v>
      </c>
      <c r="Q4" s="57">
        <v>39.664999999999999</v>
      </c>
      <c r="R4" s="57">
        <f>IFERROR(Table6[[#This Row],[Redbook WAC price per tablet/capsule (Jan 2017)]]/Table6[[#This Row],[Redbook package strength (mg) (Jan 2017)]], "")</f>
        <v>0.66108333333333336</v>
      </c>
      <c r="S4" s="74" t="s">
        <v>1741</v>
      </c>
      <c r="T4" s="57" t="s">
        <v>1744</v>
      </c>
      <c r="U4" s="57" t="s">
        <v>1743</v>
      </c>
      <c r="V4" s="57">
        <v>60</v>
      </c>
      <c r="W4" s="284">
        <f>(49.978/1.2)</f>
        <v>41.648333333333333</v>
      </c>
      <c r="X4" s="284">
        <f>IFERROR(Table6[[#This Row],[Redbook WAC price per tablet/capsule (Jul 2017)]]/Table6[[#This Row],[Redbook package strength (mg) (Jul 2017)]], "")</f>
        <v>0.69413888888888886</v>
      </c>
      <c r="Y4" s="57" t="s">
        <v>1741</v>
      </c>
      <c r="Z4" s="388" t="s">
        <v>1744</v>
      </c>
      <c r="AA4" s="389" t="s">
        <v>1743</v>
      </c>
      <c r="AB4" s="158">
        <v>60</v>
      </c>
      <c r="AC4" s="390">
        <v>41.648333333333333</v>
      </c>
      <c r="AD4" s="390">
        <f>Table6[[#This Row],[Redbook WAC price per tablet/capsule (Jan 2018)]]/Table6[[#This Row],[Redbook package strength (mg) (Jan 2018)]]</f>
        <v>0.69413888888888886</v>
      </c>
      <c r="AE4" s="391" t="s">
        <v>1741</v>
      </c>
      <c r="AF4" s="388" t="s">
        <v>1744</v>
      </c>
      <c r="AG4" s="389" t="s">
        <v>1743</v>
      </c>
      <c r="AH4" s="397">
        <v>60</v>
      </c>
      <c r="AI4" s="399">
        <v>42.48</v>
      </c>
      <c r="AJ4" s="399">
        <f>Table6[[#This Row],[Redbook WAC price per tablet/capsule (Jul 2018)]]/Table6[[#This Row],[Redbook package strength (mg) (Jul 2018)]]</f>
        <v>0.70799999999999996</v>
      </c>
      <c r="AK4" s="391" t="s">
        <v>1741</v>
      </c>
      <c r="AL4" s="57" t="s">
        <v>1744</v>
      </c>
      <c r="AM4" s="57" t="s">
        <v>1743</v>
      </c>
      <c r="AN4" s="57">
        <v>60</v>
      </c>
      <c r="AO4" s="58">
        <v>42.481699999999996</v>
      </c>
      <c r="AP4" s="58">
        <f>IFERROR(Table6[[#This Row],[Redbook WAC price per tablet/capsule (Jan 2019)]]/Table6[[#This Row],[Redbook package strength (mg) (Jan 2019)]], "")</f>
        <v>0.70802833333333326</v>
      </c>
      <c r="AQ4" s="74" t="s">
        <v>1741</v>
      </c>
      <c r="AR4" s="73" t="s">
        <v>1742</v>
      </c>
      <c r="AS4" s="57" t="s">
        <v>1473</v>
      </c>
      <c r="AT4" s="57">
        <v>60</v>
      </c>
      <c r="AU4" s="58">
        <v>38.191000000000003</v>
      </c>
      <c r="AV4" s="58">
        <f>IFERROR(Table6[[#This Row],[Redbook WAC price per tablet/capsule (Jul 2019)]]/Table6[[#This Row],[Redbook package strength (mg) (Jul 2019)]], "")</f>
        <v>0.63651666666666673</v>
      </c>
      <c r="AW4" s="74" t="s">
        <v>1741</v>
      </c>
      <c r="AX4" s="73" t="s">
        <v>1742</v>
      </c>
      <c r="AY4" s="57" t="s">
        <v>1473</v>
      </c>
      <c r="AZ4" s="57">
        <v>60</v>
      </c>
      <c r="BA4" s="59">
        <v>38.191000000000003</v>
      </c>
      <c r="BB4" s="59">
        <f>IFERROR(Table6[[#This Row],[Redbook WAC price per tablet/capsule (Jan 2020)]]/Table6[[#This Row],[Redbook package strength (mg) (Jan 2020)]], "")</f>
        <v>0.63651666666666673</v>
      </c>
      <c r="BC4" t="s">
        <v>1741</v>
      </c>
      <c r="BD4" s="73" t="s">
        <v>1742</v>
      </c>
      <c r="BE4" s="57" t="s">
        <v>1473</v>
      </c>
      <c r="BF4" s="57">
        <v>60</v>
      </c>
      <c r="BG4" s="58">
        <v>38.191000000000003</v>
      </c>
      <c r="BH4" s="58">
        <f>IFERROR(Table6[[#This Row],[Redbook WAC price per tablet/capsule (Jul 2020)]]/Table6[[#This Row],[Redbook package strength (mg) (Jul 2020)]], "")</f>
        <v>0.63651666666666673</v>
      </c>
      <c r="BI4" s="74" t="s">
        <v>1741</v>
      </c>
      <c r="BJ4" s="57" t="s">
        <v>1742</v>
      </c>
      <c r="BK4" s="57" t="s">
        <v>1473</v>
      </c>
      <c r="BL4" s="57">
        <v>60</v>
      </c>
      <c r="BM4" s="58">
        <v>38.191000000000003</v>
      </c>
      <c r="BN4" s="58">
        <f>IFERROR(Table6[[#This Row],[Redbook WAC price per tablet/capsule (Jan 2021)]]/Table6[[#This Row],[Redbook package strength (mg) (Jan 2021)]], "")</f>
        <v>0.63651666666666673</v>
      </c>
      <c r="BO4" s="57" t="s">
        <v>1741</v>
      </c>
      <c r="BP4" s="73" t="s">
        <v>1742</v>
      </c>
      <c r="BQ4" s="57" t="s">
        <v>1473</v>
      </c>
      <c r="BR4" s="57">
        <v>60</v>
      </c>
      <c r="BS4" s="58">
        <v>38.191000000000003</v>
      </c>
      <c r="BT4" s="58">
        <f>IFERROR(Table6[[#This Row],[Redbook WAC price per tablet/capsule (Jul 2021)]]/Table6[[#This Row],[Redbook package strength (mg) (Jul 2021)]], "")</f>
        <v>0.63651666666666673</v>
      </c>
      <c r="BU4" s="57" t="s">
        <v>1741</v>
      </c>
      <c r="BV4" s="73" t="s">
        <v>1742</v>
      </c>
      <c r="BW4" s="57" t="s">
        <v>1473</v>
      </c>
      <c r="BX4" s="57">
        <v>60</v>
      </c>
      <c r="BY4" s="157">
        <v>38.19</v>
      </c>
      <c r="BZ4" s="58">
        <f>IFERROR(Table6[[#This Row],[Redbook WAC price per tablet/capsule (Jan 2022)]]/Table6[[#This Row],[Redbook package strength (mg) (Jan 2022)]], "")</f>
        <v>0.63649999999999995</v>
      </c>
      <c r="CA4" s="74" t="s">
        <v>1741</v>
      </c>
      <c r="CB4" s="57" t="s">
        <v>1742</v>
      </c>
      <c r="CC4" s="57" t="s">
        <v>1473</v>
      </c>
      <c r="CD4" s="57">
        <v>60</v>
      </c>
      <c r="CE4" s="58">
        <v>38.191000000000003</v>
      </c>
      <c r="CF4" s="58">
        <f>IFERROR(Table6[[#This Row],[Redbook WAC price per tablet/capsule (Jul 2022)]]/Table6[[#This Row],[Redbook package strength (mg) (Jul 2022)]], "")</f>
        <v>0.63651666666666673</v>
      </c>
      <c r="CG4" s="74" t="s">
        <v>1741</v>
      </c>
      <c r="CH4" s="158" t="s">
        <v>2387</v>
      </c>
      <c r="CI4" s="57" t="s">
        <v>1473</v>
      </c>
      <c r="CJ4" s="57">
        <v>60</v>
      </c>
      <c r="CK4" s="58">
        <v>38.15</v>
      </c>
      <c r="CL4" s="58">
        <f>IFERROR(Table6[[#This Row],[Redbook WAC price per tablet/capsule (Jan 2023)]]/Table6[[#This Row],[Redbook package strength (mg) (Jan 2023)]], "")</f>
        <v>0.63583333333333336</v>
      </c>
      <c r="CM4" s="57" t="s">
        <v>1741</v>
      </c>
      <c r="CN4" s="1"/>
    </row>
    <row r="5" spans="1:92" x14ac:dyDescent="0.3">
      <c r="A5" s="83" t="s">
        <v>11</v>
      </c>
      <c r="B5" s="57" t="s">
        <v>2447</v>
      </c>
      <c r="C5" s="57" t="s">
        <v>1474</v>
      </c>
      <c r="D5" s="57">
        <v>1</v>
      </c>
      <c r="E5" s="57">
        <v>11.246391666699999</v>
      </c>
      <c r="F5" s="57">
        <f>IFERROR(Table6[[#This Row],[Redbook WAC price per tablet/capsule (Jan 2016)]]/Table6[[#This Row],[Redbook package strength (mg) (Jan 2016)]], "")</f>
        <v>11.246391666699999</v>
      </c>
      <c r="G5" s="74" t="s">
        <v>1741</v>
      </c>
      <c r="H5" s="57" t="s">
        <v>2447</v>
      </c>
      <c r="I5" s="57" t="s">
        <v>2677</v>
      </c>
      <c r="J5" s="57">
        <v>1</v>
      </c>
      <c r="K5" s="57">
        <v>11.246391666699999</v>
      </c>
      <c r="L5" s="57">
        <f>IFERROR(Table6[[#This Row],[Redbook WAC price per tablet/capsule (Jul 2016)]]/Table6[[#This Row],[Redbook package strength (mg) (Jul 2016)]], "")</f>
        <v>11.246391666699999</v>
      </c>
      <c r="M5" s="74" t="s">
        <v>1741</v>
      </c>
      <c r="N5" s="57" t="s">
        <v>1745</v>
      </c>
      <c r="O5" s="57" t="s">
        <v>1474</v>
      </c>
      <c r="P5" s="57">
        <v>1</v>
      </c>
      <c r="Q5" s="57">
        <v>11.086391666700001</v>
      </c>
      <c r="R5" s="57">
        <f>IFERROR(Table6[[#This Row],[Redbook WAC price per tablet/capsule (Jan 2017)]]/Table6[[#This Row],[Redbook package strength (mg) (Jan 2017)]], "")</f>
        <v>11.086391666700001</v>
      </c>
      <c r="S5" s="74" t="s">
        <v>1741</v>
      </c>
      <c r="T5" s="57" t="s">
        <v>2447</v>
      </c>
      <c r="U5" s="57" t="s">
        <v>1474</v>
      </c>
      <c r="V5" s="57">
        <v>1</v>
      </c>
      <c r="W5" s="284">
        <f>(13.49567/1.2)</f>
        <v>11.246391666666668</v>
      </c>
      <c r="X5" s="284">
        <f>IFERROR(Table6[[#This Row],[Redbook WAC price per tablet/capsule (Jul 2017)]]/Table6[[#This Row],[Redbook package strength (mg) (Jul 2017)]], "")</f>
        <v>11.246391666666668</v>
      </c>
      <c r="Y5" s="57" t="s">
        <v>1741</v>
      </c>
      <c r="Z5" s="388" t="s">
        <v>1745</v>
      </c>
      <c r="AA5" s="389" t="s">
        <v>1474</v>
      </c>
      <c r="AB5" s="158">
        <v>1</v>
      </c>
      <c r="AC5" s="390">
        <v>11.086391666666668</v>
      </c>
      <c r="AD5" s="390">
        <f>Table6[[#This Row],[Redbook WAC price per tablet/capsule (Jan 2018)]]/Table6[[#This Row],[Redbook package strength (mg) (Jan 2018)]]</f>
        <v>11.086391666666668</v>
      </c>
      <c r="AE5" s="391" t="s">
        <v>1741</v>
      </c>
      <c r="AF5" s="388" t="s">
        <v>1745</v>
      </c>
      <c r="AG5" s="389" t="s">
        <v>1474</v>
      </c>
      <c r="AH5" s="397">
        <v>1</v>
      </c>
      <c r="AI5" s="399">
        <v>11.086391666666668</v>
      </c>
      <c r="AJ5" s="399">
        <f>Table6[[#This Row],[Redbook WAC price per tablet/capsule (Jul 2018)]]/Table6[[#This Row],[Redbook package strength (mg) (Jul 2018)]]</f>
        <v>11.086391666666668</v>
      </c>
      <c r="AK5" s="391" t="s">
        <v>1741</v>
      </c>
      <c r="AL5" s="57" t="s">
        <v>1745</v>
      </c>
      <c r="AM5" s="57" t="s">
        <v>1474</v>
      </c>
      <c r="AN5" s="57">
        <v>1</v>
      </c>
      <c r="AO5" s="58">
        <v>0.5</v>
      </c>
      <c r="AP5" s="58">
        <f>IFERROR(Table6[[#This Row],[Redbook WAC price per tablet/capsule (Jan 2019)]]/Table6[[#This Row],[Redbook package strength (mg) (Jan 2019)]], "")</f>
        <v>0.5</v>
      </c>
      <c r="AQ5" s="74" t="s">
        <v>1741</v>
      </c>
      <c r="AR5" s="73" t="s">
        <v>1745</v>
      </c>
      <c r="AS5" s="57" t="s">
        <v>1474</v>
      </c>
      <c r="AT5" s="57">
        <v>1</v>
      </c>
      <c r="AU5" s="58">
        <v>0.5</v>
      </c>
      <c r="AV5" s="58">
        <f>IFERROR(Table6[[#This Row],[Redbook WAC price per tablet/capsule (Jul 2019)]]/Table6[[#This Row],[Redbook package strength (mg) (Jul 2019)]], "")</f>
        <v>0.5</v>
      </c>
      <c r="AW5" s="74" t="s">
        <v>1741</v>
      </c>
      <c r="AX5" s="73" t="s">
        <v>1745</v>
      </c>
      <c r="AY5" s="57" t="s">
        <v>1474</v>
      </c>
      <c r="AZ5" s="57">
        <v>1</v>
      </c>
      <c r="BA5" s="58">
        <v>0.5</v>
      </c>
      <c r="BB5" s="59">
        <f>IFERROR(Table6[[#This Row],[Redbook WAC price per tablet/capsule (Jan 2020)]]/Table6[[#This Row],[Redbook package strength (mg) (Jan 2020)]], "")</f>
        <v>0.5</v>
      </c>
      <c r="BC5" t="s">
        <v>1741</v>
      </c>
      <c r="BD5" s="73" t="s">
        <v>1745</v>
      </c>
      <c r="BE5" s="57" t="s">
        <v>1474</v>
      </c>
      <c r="BF5" s="57">
        <v>1</v>
      </c>
      <c r="BG5" s="58">
        <v>0.5</v>
      </c>
      <c r="BH5" s="58">
        <f>IFERROR(Table6[[#This Row],[Redbook WAC price per tablet/capsule (Jul 2020)]]/Table6[[#This Row],[Redbook package strength (mg) (Jul 2020)]], "")</f>
        <v>0.5</v>
      </c>
      <c r="BI5" s="74" t="s">
        <v>1741</v>
      </c>
      <c r="BJ5" s="73" t="s">
        <v>1745</v>
      </c>
      <c r="BK5" s="57" t="s">
        <v>1474</v>
      </c>
      <c r="BL5" s="57">
        <v>1</v>
      </c>
      <c r="BM5" s="58">
        <v>0.5</v>
      </c>
      <c r="BN5" s="58">
        <f>IFERROR(Table6[[#This Row],[Redbook WAC price per tablet/capsule (Jan 2021)]]/Table6[[#This Row],[Redbook package strength (mg) (Jan 2021)]], "")</f>
        <v>0.5</v>
      </c>
      <c r="BO5" s="57" t="s">
        <v>1741</v>
      </c>
      <c r="BP5" s="73" t="s">
        <v>1745</v>
      </c>
      <c r="BQ5" s="57" t="s">
        <v>1474</v>
      </c>
      <c r="BR5" s="57">
        <v>1</v>
      </c>
      <c r="BS5" s="58">
        <v>0.5</v>
      </c>
      <c r="BT5" s="58">
        <f>IFERROR(Table6[[#This Row],[Redbook WAC price per tablet/capsule (Jul 2021)]]/Table6[[#This Row],[Redbook package strength (mg) (Jul 2021)]], "")</f>
        <v>0.5</v>
      </c>
      <c r="BU5" s="57" t="s">
        <v>1741</v>
      </c>
      <c r="BV5" s="73" t="s">
        <v>2064</v>
      </c>
      <c r="BW5" s="57" t="s">
        <v>1474</v>
      </c>
      <c r="BX5" s="57">
        <v>1</v>
      </c>
      <c r="BY5" s="58">
        <v>0.5</v>
      </c>
      <c r="BZ5" s="58">
        <f>IFERROR(Table6[[#This Row],[Redbook WAC price per tablet/capsule (Jan 2022)]]/Table6[[#This Row],[Redbook package strength (mg) (Jan 2022)]], "")</f>
        <v>0.5</v>
      </c>
      <c r="CA5" s="74" t="s">
        <v>1741</v>
      </c>
      <c r="CB5" s="57" t="s">
        <v>2141</v>
      </c>
      <c r="CC5" s="158" t="s">
        <v>1474</v>
      </c>
      <c r="CD5" s="57">
        <v>1</v>
      </c>
      <c r="CE5" s="58">
        <v>0.505</v>
      </c>
      <c r="CF5" s="247">
        <f>IFERROR(Table6[[#This Row],[Redbook WAC price per tablet/capsule (Jul 2022)]]/Table6[[#This Row],[Redbook package strength (mg) (Jul 2022)]], "")</f>
        <v>0.505</v>
      </c>
      <c r="CG5" s="74" t="s">
        <v>1741</v>
      </c>
      <c r="CH5" s="158" t="s">
        <v>2388</v>
      </c>
      <c r="CI5" s="57" t="s">
        <v>1474</v>
      </c>
      <c r="CJ5" s="57">
        <v>1</v>
      </c>
      <c r="CK5" s="58">
        <v>0.15933</v>
      </c>
      <c r="CL5" s="58">
        <f>IFERROR(Table6[[#This Row],[Redbook WAC price per tablet/capsule (Jan 2023)]]/Table6[[#This Row],[Redbook package strength (mg) (Jan 2023)]], "")</f>
        <v>0.15933</v>
      </c>
      <c r="CM5" s="57" t="s">
        <v>1741</v>
      </c>
      <c r="CN5" t="s">
        <v>2148</v>
      </c>
    </row>
    <row r="6" spans="1:92" x14ac:dyDescent="0.3">
      <c r="A6" s="135" t="s">
        <v>12</v>
      </c>
      <c r="B6" s="57" t="s">
        <v>1746</v>
      </c>
      <c r="C6" s="57" t="s">
        <v>1475</v>
      </c>
      <c r="D6" s="57">
        <v>2.5</v>
      </c>
      <c r="E6" s="57">
        <v>15.112225</v>
      </c>
      <c r="F6" s="57">
        <f>IFERROR(Table6[[#This Row],[Redbook WAC price per tablet/capsule (Jan 2016)]]/Table6[[#This Row],[Redbook package strength (mg) (Jan 2016)]], "")</f>
        <v>6.0448900000000005</v>
      </c>
      <c r="G6" s="74" t="s">
        <v>1741</v>
      </c>
      <c r="H6" s="57" t="s">
        <v>1746</v>
      </c>
      <c r="I6" s="57" t="s">
        <v>1475</v>
      </c>
      <c r="J6" s="57">
        <v>2.5</v>
      </c>
      <c r="K6" s="57">
        <v>15.112225</v>
      </c>
      <c r="L6" s="57">
        <f>IFERROR(Table6[[#This Row],[Redbook WAC price per tablet/capsule (Jul 2016)]]/Table6[[#This Row],[Redbook package strength (mg) (Jul 2016)]], "")</f>
        <v>6.0448900000000005</v>
      </c>
      <c r="M6" s="74" t="s">
        <v>1741</v>
      </c>
      <c r="N6" s="57" t="s">
        <v>1746</v>
      </c>
      <c r="O6" s="57" t="s">
        <v>1475</v>
      </c>
      <c r="P6" s="57">
        <v>2.5</v>
      </c>
      <c r="Q6" s="57">
        <v>15.112225</v>
      </c>
      <c r="R6" s="57">
        <f>IFERROR(Table6[[#This Row],[Redbook WAC price per tablet/capsule (Jan 2017)]]/Table6[[#This Row],[Redbook package strength (mg) (Jan 2017)]], "")</f>
        <v>6.0448900000000005</v>
      </c>
      <c r="S6" s="74" t="s">
        <v>1741</v>
      </c>
      <c r="T6" s="57" t="s">
        <v>1746</v>
      </c>
      <c r="U6" s="57" t="s">
        <v>1475</v>
      </c>
      <c r="V6" s="57">
        <v>2.5</v>
      </c>
      <c r="W6" s="284">
        <v>0.36667</v>
      </c>
      <c r="X6" s="284">
        <f>IFERROR(Table6[[#This Row],[Redbook WAC price per tablet/capsule (Jul 2017)]]/Table6[[#This Row],[Redbook package strength (mg) (Jul 2017)]], "")</f>
        <v>0.14666799999999999</v>
      </c>
      <c r="Y6" s="57" t="s">
        <v>1741</v>
      </c>
      <c r="Z6" s="388" t="s">
        <v>1746</v>
      </c>
      <c r="AA6" s="389" t="s">
        <v>1475</v>
      </c>
      <c r="AB6" s="158">
        <v>2.5</v>
      </c>
      <c r="AC6" s="390">
        <v>15.112225</v>
      </c>
      <c r="AD6" s="390">
        <f>Table6[[#This Row],[Redbook WAC price per tablet/capsule (Jan 2018)]]/Table6[[#This Row],[Redbook package strength (mg) (Jan 2018)]]</f>
        <v>6.0448900000000005</v>
      </c>
      <c r="AE6" s="391" t="s">
        <v>1741</v>
      </c>
      <c r="AF6" s="388" t="s">
        <v>1747</v>
      </c>
      <c r="AG6" s="389" t="s">
        <v>1475</v>
      </c>
      <c r="AH6" s="397">
        <v>2.5</v>
      </c>
      <c r="AI6" s="399">
        <v>15.111941666666667</v>
      </c>
      <c r="AJ6" s="399">
        <f>Table6[[#This Row],[Redbook WAC price per tablet/capsule (Jul 2018)]]/Table6[[#This Row],[Redbook package strength (mg) (Jul 2018)]]</f>
        <v>6.0447766666666665</v>
      </c>
      <c r="AK6" s="391" t="s">
        <v>1741</v>
      </c>
      <c r="AL6" s="57" t="s">
        <v>1746</v>
      </c>
      <c r="AM6" s="57" t="s">
        <v>1475</v>
      </c>
      <c r="AN6" s="57">
        <v>2.5</v>
      </c>
      <c r="AO6" s="58">
        <v>0.36667</v>
      </c>
      <c r="AP6" s="58">
        <f>IFERROR(Table6[[#This Row],[Redbook WAC price per tablet/capsule (Jan 2019)]]/Table6[[#This Row],[Redbook package strength (mg) (Jan 2019)]], "")</f>
        <v>0.14666799999999999</v>
      </c>
      <c r="AQ6" s="74" t="s">
        <v>1741</v>
      </c>
      <c r="AR6" s="73" t="s">
        <v>1746</v>
      </c>
      <c r="AS6" s="57" t="s">
        <v>1475</v>
      </c>
      <c r="AT6" s="57">
        <v>2.5</v>
      </c>
      <c r="AU6" s="58">
        <v>0.36667</v>
      </c>
      <c r="AV6" s="58">
        <f>IFERROR(Table6[[#This Row],[Redbook WAC price per tablet/capsule (Jul 2019)]]/Table6[[#This Row],[Redbook package strength (mg) (Jul 2019)]], "")</f>
        <v>0.14666799999999999</v>
      </c>
      <c r="AW6" s="74" t="s">
        <v>1741</v>
      </c>
      <c r="AX6" t="s">
        <v>1747</v>
      </c>
      <c r="AY6" t="s">
        <v>1475</v>
      </c>
      <c r="AZ6">
        <v>2.5</v>
      </c>
      <c r="BA6" s="59">
        <v>0.3</v>
      </c>
      <c r="BB6" s="59">
        <f>IFERROR(Table6[[#This Row],[Redbook WAC price per tablet/capsule (Jan 2020)]]/Table6[[#This Row],[Redbook package strength (mg) (Jan 2020)]], "")</f>
        <v>0.12</v>
      </c>
      <c r="BC6" t="s">
        <v>1741</v>
      </c>
      <c r="BD6" s="73" t="s">
        <v>1747</v>
      </c>
      <c r="BE6" t="s">
        <v>1475</v>
      </c>
      <c r="BF6">
        <v>2.5</v>
      </c>
      <c r="BG6" s="58">
        <v>0.3</v>
      </c>
      <c r="BH6" s="58">
        <f>IFERROR(Table6[[#This Row],[Redbook WAC price per tablet/capsule (Jul 2020)]]/Table6[[#This Row],[Redbook package strength (mg) (Jul 2020)]], "")</f>
        <v>0.12</v>
      </c>
      <c r="BI6" s="74" t="s">
        <v>1741</v>
      </c>
      <c r="BJ6" s="57" t="s">
        <v>1747</v>
      </c>
      <c r="BK6" t="s">
        <v>1475</v>
      </c>
      <c r="BL6">
        <v>2.5</v>
      </c>
      <c r="BM6" s="58">
        <v>0.3</v>
      </c>
      <c r="BN6" s="58">
        <f>IFERROR(Table6[[#This Row],[Redbook WAC price per tablet/capsule (Jan 2021)]]/Table6[[#This Row],[Redbook package strength (mg) (Jan 2021)]], "")</f>
        <v>0.12</v>
      </c>
      <c r="BO6" s="57" t="s">
        <v>1741</v>
      </c>
      <c r="BP6" s="73" t="s">
        <v>1747</v>
      </c>
      <c r="BQ6" t="s">
        <v>1475</v>
      </c>
      <c r="BR6">
        <v>2.5</v>
      </c>
      <c r="BS6" s="58">
        <v>0.3</v>
      </c>
      <c r="BT6" s="58">
        <f>IFERROR(Table6[[#This Row],[Redbook WAC price per tablet/capsule (Jul 2021)]]/Table6[[#This Row],[Redbook package strength (mg) (Jul 2021)]], "")</f>
        <v>0.12</v>
      </c>
      <c r="BU6" s="57" t="s">
        <v>1741</v>
      </c>
      <c r="BV6" s="73" t="s">
        <v>2065</v>
      </c>
      <c r="BW6" s="57" t="s">
        <v>1475</v>
      </c>
      <c r="BX6" s="57">
        <v>2.5</v>
      </c>
      <c r="BY6" s="58">
        <v>0.3</v>
      </c>
      <c r="BZ6" s="58">
        <f>IFERROR(Table6[[#This Row],[Redbook WAC price per tablet/capsule (Jan 2022)]]/Table6[[#This Row],[Redbook package strength (mg) (Jan 2022)]], "")</f>
        <v>0.12</v>
      </c>
      <c r="CA6" s="74" t="s">
        <v>1741</v>
      </c>
      <c r="CB6" s="57" t="s">
        <v>1747</v>
      </c>
      <c r="CC6" s="57" t="s">
        <v>1475</v>
      </c>
      <c r="CD6" s="57">
        <v>2.5</v>
      </c>
      <c r="CE6" s="58">
        <v>0.3</v>
      </c>
      <c r="CF6" s="58">
        <f>IFERROR(Table6[[#This Row],[Redbook WAC price per tablet/capsule (Jul 2022)]]/Table6[[#This Row],[Redbook package strength (mg) (Jul 2022)]], "")</f>
        <v>0.12</v>
      </c>
      <c r="CG6" s="74" t="s">
        <v>1741</v>
      </c>
      <c r="CH6" s="158" t="s">
        <v>2389</v>
      </c>
      <c r="CI6" s="57" t="s">
        <v>1475</v>
      </c>
      <c r="CJ6" s="57">
        <v>2.5</v>
      </c>
      <c r="CK6" s="58">
        <v>0.25</v>
      </c>
      <c r="CL6" s="58">
        <f>IFERROR(Table6[[#This Row],[Redbook WAC price per tablet/capsule (Jan 2023)]]/Table6[[#This Row],[Redbook package strength (mg) (Jan 2023)]], "")</f>
        <v>0.1</v>
      </c>
      <c r="CM6" s="57" t="s">
        <v>1741</v>
      </c>
    </row>
    <row r="7" spans="1:92" x14ac:dyDescent="0.3">
      <c r="A7" s="136" t="s">
        <v>14</v>
      </c>
      <c r="B7" s="57" t="s">
        <v>2390</v>
      </c>
      <c r="C7" s="57" t="s">
        <v>1476</v>
      </c>
      <c r="D7" s="57">
        <v>25</v>
      </c>
      <c r="E7" s="57">
        <v>16.8594416667</v>
      </c>
      <c r="F7" s="57">
        <f>IFERROR(Table6[[#This Row],[Redbook WAC price per tablet/capsule (Jan 2016)]]/Table6[[#This Row],[Redbook package strength (mg) (Jan 2016)]], "")</f>
        <v>0.67437766666800003</v>
      </c>
      <c r="G7" s="74" t="s">
        <v>1741</v>
      </c>
      <c r="H7" s="57" t="s">
        <v>2390</v>
      </c>
      <c r="I7" s="57" t="s">
        <v>2678</v>
      </c>
      <c r="J7" s="57">
        <v>25</v>
      </c>
      <c r="K7" s="57">
        <v>10.9111083333</v>
      </c>
      <c r="L7" s="57">
        <f>IFERROR(Table6[[#This Row],[Redbook WAC price per tablet/capsule (Jul 2016)]]/Table6[[#This Row],[Redbook package strength (mg) (Jul 2016)]], "")</f>
        <v>0.436444333332</v>
      </c>
      <c r="M7" s="74" t="s">
        <v>1741</v>
      </c>
      <c r="N7" s="57" t="s">
        <v>2390</v>
      </c>
      <c r="O7" s="57" t="s">
        <v>1476</v>
      </c>
      <c r="P7" s="57">
        <v>25</v>
      </c>
      <c r="Q7" s="57">
        <v>10.9111083333</v>
      </c>
      <c r="R7" s="57">
        <f>IFERROR(Table6[[#This Row],[Redbook WAC price per tablet/capsule (Jan 2017)]]/Table6[[#This Row],[Redbook package strength (mg) (Jan 2017)]], "")</f>
        <v>0.436444333332</v>
      </c>
      <c r="S7" s="74" t="s">
        <v>1741</v>
      </c>
      <c r="T7" s="57" t="s">
        <v>2448</v>
      </c>
      <c r="U7" s="57" t="s">
        <v>1476</v>
      </c>
      <c r="V7" s="57">
        <v>25</v>
      </c>
      <c r="W7" s="284">
        <f>(20.23133/1.2)</f>
        <v>16.859441666666669</v>
      </c>
      <c r="X7" s="284">
        <f>IFERROR(Table6[[#This Row],[Redbook WAC price per tablet/capsule (Jul 2017)]]/Table6[[#This Row],[Redbook package strength (mg) (Jul 2017)]], "")</f>
        <v>0.67437766666666676</v>
      </c>
      <c r="Y7" s="57" t="s">
        <v>1741</v>
      </c>
      <c r="Z7" s="388" t="s">
        <v>2448</v>
      </c>
      <c r="AA7" s="389" t="s">
        <v>1476</v>
      </c>
      <c r="AB7" s="158">
        <v>25</v>
      </c>
      <c r="AC7" s="390">
        <v>16.859441666666669</v>
      </c>
      <c r="AD7" s="390">
        <f>Table6[[#This Row],[Redbook WAC price per tablet/capsule (Jan 2018)]]/Table6[[#This Row],[Redbook package strength (mg) (Jan 2018)]]</f>
        <v>0.67437766666666676</v>
      </c>
      <c r="AE7" s="391" t="s">
        <v>1741</v>
      </c>
      <c r="AF7" s="388" t="s">
        <v>1748</v>
      </c>
      <c r="AG7" s="389" t="s">
        <v>1476</v>
      </c>
      <c r="AH7" s="397">
        <v>25</v>
      </c>
      <c r="AI7" s="399">
        <v>10.85933</v>
      </c>
      <c r="AJ7" s="399">
        <f>Table6[[#This Row],[Redbook WAC price per tablet/capsule (Jul 2018)]]/Table6[[#This Row],[Redbook package strength (mg) (Jul 2018)]]</f>
        <v>0.43437320000000001</v>
      </c>
      <c r="AK7" s="391" t="s">
        <v>1741</v>
      </c>
      <c r="AL7" s="57" t="s">
        <v>1748</v>
      </c>
      <c r="AM7" s="57" t="s">
        <v>1476</v>
      </c>
      <c r="AN7" s="57">
        <v>25</v>
      </c>
      <c r="AO7" s="58">
        <v>10.85933</v>
      </c>
      <c r="AP7" s="58">
        <f>IFERROR(Table6[[#This Row],[Redbook WAC price per tablet/capsule (Jan 2019)]]/Table6[[#This Row],[Redbook package strength (mg) (Jan 2019)]], "")</f>
        <v>0.43437320000000001</v>
      </c>
      <c r="AQ7" s="74" t="s">
        <v>1741</v>
      </c>
      <c r="AR7" s="73" t="s">
        <v>1749</v>
      </c>
      <c r="AS7" s="57" t="s">
        <v>1476</v>
      </c>
      <c r="AT7" s="57">
        <v>25</v>
      </c>
      <c r="AU7" s="58">
        <v>8.6667000000000005</v>
      </c>
      <c r="AV7" s="58">
        <f>IFERROR(Table6[[#This Row],[Redbook WAC price per tablet/capsule (Jul 2019)]]/Table6[[#This Row],[Redbook package strength (mg) (Jul 2019)]], "")</f>
        <v>0.34666800000000003</v>
      </c>
      <c r="AW7" s="74" t="s">
        <v>1741</v>
      </c>
      <c r="AX7" s="73" t="s">
        <v>1749</v>
      </c>
      <c r="AY7" s="57" t="s">
        <v>1476</v>
      </c>
      <c r="AZ7" s="57">
        <v>25</v>
      </c>
      <c r="BA7" s="58">
        <v>8.6667000000000005</v>
      </c>
      <c r="BB7" s="59">
        <f>IFERROR(Table6[[#This Row],[Redbook WAC price per tablet/capsule (Jan 2020)]]/Table6[[#This Row],[Redbook package strength (mg) (Jan 2020)]], "")</f>
        <v>0.34666800000000003</v>
      </c>
      <c r="BC7" t="s">
        <v>1741</v>
      </c>
      <c r="BD7" s="73" t="s">
        <v>1749</v>
      </c>
      <c r="BE7" s="57" t="s">
        <v>1476</v>
      </c>
      <c r="BF7" s="57">
        <v>25</v>
      </c>
      <c r="BG7" s="58">
        <v>3.3333300000000001</v>
      </c>
      <c r="BH7" s="58">
        <f>IFERROR(Table6[[#This Row],[Redbook WAC price per tablet/capsule (Jul 2020)]]/Table6[[#This Row],[Redbook package strength (mg) (Jul 2020)]], "")</f>
        <v>0.13333320000000001</v>
      </c>
      <c r="BI7" s="74" t="s">
        <v>1741</v>
      </c>
      <c r="BJ7" s="57" t="s">
        <v>1749</v>
      </c>
      <c r="BK7" s="57" t="s">
        <v>1476</v>
      </c>
      <c r="BL7" s="57">
        <v>25</v>
      </c>
      <c r="BM7" s="58">
        <v>3.3333300000000001</v>
      </c>
      <c r="BN7" s="58">
        <f>IFERROR(Table6[[#This Row],[Redbook WAC price per tablet/capsule (Jan 2021)]]/Table6[[#This Row],[Redbook package strength (mg) (Jan 2021)]], "")</f>
        <v>0.13333320000000001</v>
      </c>
      <c r="BO7" s="57" t="s">
        <v>1741</v>
      </c>
      <c r="BP7" s="73" t="s">
        <v>1749</v>
      </c>
      <c r="BQ7" s="57" t="s">
        <v>1476</v>
      </c>
      <c r="BR7" s="57">
        <v>25</v>
      </c>
      <c r="BS7" s="58">
        <v>3.3333300000000001</v>
      </c>
      <c r="BT7" s="58">
        <f>IFERROR(Table6[[#This Row],[Redbook WAC price per tablet/capsule (Jul 2021)]]/Table6[[#This Row],[Redbook package strength (mg) (Jul 2021)]], "")</f>
        <v>0.13333320000000001</v>
      </c>
      <c r="BU7" s="57" t="s">
        <v>1741</v>
      </c>
      <c r="BV7" s="73" t="s">
        <v>1749</v>
      </c>
      <c r="BW7" s="57" t="s">
        <v>1476</v>
      </c>
      <c r="BX7" s="57">
        <v>25</v>
      </c>
      <c r="BY7" s="58">
        <v>3.33</v>
      </c>
      <c r="BZ7" s="58">
        <f>IFERROR(Table6[[#This Row],[Redbook WAC price per tablet/capsule (Jan 2022)]]/Table6[[#This Row],[Redbook package strength (mg) (Jan 2022)]], "")</f>
        <v>0.13320000000000001</v>
      </c>
      <c r="CA7" s="74" t="s">
        <v>1741</v>
      </c>
      <c r="CB7" s="57" t="s">
        <v>1749</v>
      </c>
      <c r="CC7" s="57" t="s">
        <v>1476</v>
      </c>
      <c r="CD7" s="57">
        <v>25</v>
      </c>
      <c r="CE7" s="58">
        <v>3.3333300000000001</v>
      </c>
      <c r="CF7" s="58">
        <f>IFERROR(Table6[[#This Row],[Redbook WAC price per tablet/capsule (Jul 2022)]]/Table6[[#This Row],[Redbook package strength (mg) (Jul 2022)]], "")</f>
        <v>0.13333320000000001</v>
      </c>
      <c r="CG7" s="74" t="s">
        <v>1741</v>
      </c>
      <c r="CH7" s="158" t="s">
        <v>2390</v>
      </c>
      <c r="CI7" s="57" t="s">
        <v>1476</v>
      </c>
      <c r="CJ7" s="57">
        <v>25</v>
      </c>
      <c r="CK7" s="58">
        <v>1.6666700000000001</v>
      </c>
      <c r="CL7" s="58">
        <f>IFERROR(Table6[[#This Row],[Redbook WAC price per tablet/capsule (Jan 2023)]]/Table6[[#This Row],[Redbook package strength (mg) (Jan 2023)]], "")</f>
        <v>6.6666799999999998E-2</v>
      </c>
      <c r="CM7" s="57" t="s">
        <v>1741</v>
      </c>
    </row>
    <row r="8" spans="1:92" x14ac:dyDescent="0.3">
      <c r="A8" s="135" t="s">
        <v>15</v>
      </c>
      <c r="B8" s="57" t="s">
        <v>1750</v>
      </c>
      <c r="C8" s="57" t="s">
        <v>1478</v>
      </c>
      <c r="D8" s="57">
        <v>125</v>
      </c>
      <c r="E8" s="57">
        <v>492.5</v>
      </c>
      <c r="F8" s="57">
        <f>IFERROR(Table6[[#This Row],[Redbook WAC price per tablet/capsule (Jan 2016)]]/Table6[[#This Row],[Redbook package strength (mg) (Jan 2016)]], "")</f>
        <v>3.94</v>
      </c>
      <c r="G8" s="74" t="s">
        <v>1741</v>
      </c>
      <c r="H8" s="57" t="s">
        <v>1750</v>
      </c>
      <c r="I8" s="57" t="s">
        <v>1478</v>
      </c>
      <c r="J8" s="57">
        <v>125</v>
      </c>
      <c r="K8" s="57">
        <v>492.5</v>
      </c>
      <c r="L8" s="57">
        <f>IFERROR(Table6[[#This Row],[Redbook WAC price per tablet/capsule (Jul 2016)]]/Table6[[#This Row],[Redbook package strength (mg) (Jul 2016)]], "")</f>
        <v>3.94</v>
      </c>
      <c r="M8" s="74" t="s">
        <v>1741</v>
      </c>
      <c r="N8" s="57" t="s">
        <v>1750</v>
      </c>
      <c r="O8" s="57" t="s">
        <v>1478</v>
      </c>
      <c r="P8" s="57">
        <v>125</v>
      </c>
      <c r="Q8" s="57">
        <v>522.04999999999995</v>
      </c>
      <c r="R8" s="57">
        <f>IFERROR(Table6[[#This Row],[Redbook WAC price per tablet/capsule (Jan 2017)]]/Table6[[#This Row],[Redbook package strength (mg) (Jan 2017)]], "")</f>
        <v>4.1763999999999992</v>
      </c>
      <c r="S8" s="74" t="s">
        <v>1741</v>
      </c>
      <c r="T8" s="57" t="s">
        <v>1750</v>
      </c>
      <c r="U8" s="57" t="s">
        <v>1478</v>
      </c>
      <c r="V8" s="57">
        <v>125</v>
      </c>
      <c r="W8" s="284">
        <f>(626.46/1.2)</f>
        <v>522.05000000000007</v>
      </c>
      <c r="X8" s="284">
        <f>IFERROR(Table6[[#This Row],[Redbook WAC price per tablet/capsule (Jul 2017)]]/Table6[[#This Row],[Redbook package strength (mg) (Jul 2017)]], "")</f>
        <v>4.1764000000000001</v>
      </c>
      <c r="Y8" s="57" t="s">
        <v>1741</v>
      </c>
      <c r="Z8" s="388" t="s">
        <v>1750</v>
      </c>
      <c r="AA8" s="389" t="s">
        <v>1478</v>
      </c>
      <c r="AB8" s="158">
        <v>125</v>
      </c>
      <c r="AC8" s="390">
        <v>537.71150833333343</v>
      </c>
      <c r="AD8" s="390">
        <f>Table6[[#This Row],[Redbook WAC price per tablet/capsule (Jan 2018)]]/Table6[[#This Row],[Redbook package strength (mg) (Jan 2018)]]</f>
        <v>4.3016920666666678</v>
      </c>
      <c r="AE8" s="391" t="s">
        <v>1741</v>
      </c>
      <c r="AF8" s="388" t="s">
        <v>1750</v>
      </c>
      <c r="AG8" s="389" t="s">
        <v>1478</v>
      </c>
      <c r="AH8" s="397">
        <v>125</v>
      </c>
      <c r="AI8" s="399">
        <v>537.71150833333343</v>
      </c>
      <c r="AJ8" s="399">
        <f>Table6[[#This Row],[Redbook WAC price per tablet/capsule (Jul 2018)]]/Table6[[#This Row],[Redbook package strength (mg) (Jul 2018)]]</f>
        <v>4.3016920666666678</v>
      </c>
      <c r="AK8" s="391" t="s">
        <v>1741</v>
      </c>
      <c r="AL8" s="57" t="s">
        <v>1750</v>
      </c>
      <c r="AM8" s="57" t="s">
        <v>1478</v>
      </c>
      <c r="AN8" s="57">
        <v>125</v>
      </c>
      <c r="AO8" s="58">
        <v>537.71140000000003</v>
      </c>
      <c r="AP8" s="58">
        <f>IFERROR(Table6[[#This Row],[Redbook WAC price per tablet/capsule (Jan 2019)]]/Table6[[#This Row],[Redbook package strength (mg) (Jan 2019)]], "")</f>
        <v>4.3016912000000005</v>
      </c>
      <c r="AQ8" s="74" t="s">
        <v>1741</v>
      </c>
      <c r="AR8" s="73" t="s">
        <v>1750</v>
      </c>
      <c r="AS8" s="57" t="s">
        <v>1478</v>
      </c>
      <c r="AT8" s="57">
        <v>125</v>
      </c>
      <c r="AU8" s="58">
        <v>564.59720000000004</v>
      </c>
      <c r="AV8" s="58">
        <f>IFERROR(Table6[[#This Row],[Redbook WAC price per tablet/capsule (Jul 2019)]]/Table6[[#This Row],[Redbook package strength (mg) (Jul 2019)]], "")</f>
        <v>4.5167776000000002</v>
      </c>
      <c r="AW8" s="74" t="s">
        <v>1741</v>
      </c>
      <c r="AX8" s="73" t="s">
        <v>1750</v>
      </c>
      <c r="AY8" s="57" t="s">
        <v>1478</v>
      </c>
      <c r="AZ8" s="57">
        <v>125</v>
      </c>
      <c r="BA8" s="59">
        <v>592.82719999999995</v>
      </c>
      <c r="BB8" s="59">
        <f>IFERROR(Table6[[#This Row],[Redbook WAC price per tablet/capsule (Jan 2020)]]/Table6[[#This Row],[Redbook package strength (mg) (Jan 2020)]], "")</f>
        <v>4.7426176</v>
      </c>
      <c r="BC8" t="s">
        <v>1741</v>
      </c>
      <c r="BD8" s="73" t="s">
        <v>1751</v>
      </c>
      <c r="BE8" s="57" t="s">
        <v>1478</v>
      </c>
      <c r="BF8" s="57">
        <v>125</v>
      </c>
      <c r="BG8" s="58">
        <v>592.82719999999995</v>
      </c>
      <c r="BH8" s="58">
        <f>IFERROR(Table6[[#This Row],[Redbook WAC price per tablet/capsule (Jul 2020)]]/Table6[[#This Row],[Redbook package strength (mg) (Jul 2020)]], "")</f>
        <v>4.7426176</v>
      </c>
      <c r="BI8" s="74" t="s">
        <v>1741</v>
      </c>
      <c r="BJ8" s="57" t="s">
        <v>1750</v>
      </c>
      <c r="BK8" s="57" t="s">
        <v>1478</v>
      </c>
      <c r="BL8" s="57">
        <v>125</v>
      </c>
      <c r="BM8" s="58">
        <v>622.46865000000003</v>
      </c>
      <c r="BN8" s="58">
        <f>IFERROR(Table6[[#This Row],[Redbook WAC price per tablet/capsule (Jan 2021)]]/Table6[[#This Row],[Redbook package strength (mg) (Jan 2021)]], "")</f>
        <v>4.9797492000000005</v>
      </c>
      <c r="BO8" s="57" t="s">
        <v>1741</v>
      </c>
      <c r="BP8" s="73" t="s">
        <v>1750</v>
      </c>
      <c r="BQ8" s="57" t="s">
        <v>1478</v>
      </c>
      <c r="BR8" s="57">
        <v>125</v>
      </c>
      <c r="BS8" s="58">
        <v>622.46865000000003</v>
      </c>
      <c r="BT8" s="58">
        <f>IFERROR(Table6[[#This Row],[Redbook WAC price per tablet/capsule (Jul 2021)]]/Table6[[#This Row],[Redbook package strength (mg) (Jul 2021)]], "")</f>
        <v>4.9797492000000005</v>
      </c>
      <c r="BU8" s="57" t="s">
        <v>1741</v>
      </c>
      <c r="BV8" s="73" t="s">
        <v>1750</v>
      </c>
      <c r="BW8" s="57" t="s">
        <v>1478</v>
      </c>
      <c r="BX8" s="57">
        <v>125</v>
      </c>
      <c r="BY8" s="58">
        <v>665.42</v>
      </c>
      <c r="BZ8" s="58">
        <f>IFERROR(Table6[[#This Row],[Redbook WAC price per tablet/capsule (Jan 2022)]]/Table6[[#This Row],[Redbook package strength (mg) (Jan 2022)]], "")</f>
        <v>5.3233600000000001</v>
      </c>
      <c r="CA8" s="74" t="s">
        <v>1741</v>
      </c>
      <c r="CB8" s="57" t="s">
        <v>1750</v>
      </c>
      <c r="CC8" s="57" t="s">
        <v>1478</v>
      </c>
      <c r="CD8" s="57">
        <v>125</v>
      </c>
      <c r="CE8" s="58">
        <v>665.41904999999997</v>
      </c>
      <c r="CF8" s="58">
        <f>IFERROR(Table6[[#This Row],[Redbook WAC price per tablet/capsule (Jul 2022)]]/Table6[[#This Row],[Redbook package strength (mg) (Jul 2022)]], "")</f>
        <v>5.3233524000000001</v>
      </c>
      <c r="CG8" s="74" t="s">
        <v>1741</v>
      </c>
      <c r="CH8" s="158" t="s">
        <v>1750</v>
      </c>
      <c r="CI8" s="57" t="s">
        <v>1478</v>
      </c>
      <c r="CJ8" s="57">
        <v>125</v>
      </c>
      <c r="CK8" s="58">
        <v>717.98713999999995</v>
      </c>
      <c r="CL8" s="58">
        <f>IFERROR(Table6[[#This Row],[Redbook WAC price per tablet/capsule (Jan 2023)]]/Table6[[#This Row],[Redbook package strength (mg) (Jan 2023)]], "")</f>
        <v>5.7438971199999997</v>
      </c>
      <c r="CM8" s="57" t="s">
        <v>1741</v>
      </c>
    </row>
    <row r="9" spans="1:92" x14ac:dyDescent="0.3">
      <c r="A9" s="83" t="s">
        <v>16</v>
      </c>
      <c r="B9" s="362" t="s">
        <v>1752</v>
      </c>
      <c r="C9" s="362" t="s">
        <v>1717</v>
      </c>
      <c r="D9" s="362">
        <v>200</v>
      </c>
      <c r="E9" s="362">
        <v>173.80952500000001</v>
      </c>
      <c r="F9" s="362">
        <f>IFERROR(Table6[[#This Row],[Redbook WAC price per tablet/capsule (Jan 2016)]]/Table6[[#This Row],[Redbook package strength (mg) (Jan 2016)]], "")</f>
        <v>0.86904762499999999</v>
      </c>
      <c r="G9" s="363" t="s">
        <v>1741</v>
      </c>
      <c r="H9" s="57" t="s">
        <v>1752</v>
      </c>
      <c r="I9" s="57" t="s">
        <v>1717</v>
      </c>
      <c r="J9" s="57">
        <v>200</v>
      </c>
      <c r="K9" s="57">
        <v>173.80952500000001</v>
      </c>
      <c r="L9" s="57">
        <f>IFERROR(Table6[[#This Row],[Redbook WAC price per tablet/capsule (Jul 2016)]]/Table6[[#This Row],[Redbook package strength (mg) (Jul 2016)]], "")</f>
        <v>0.86904762499999999</v>
      </c>
      <c r="M9" s="74" t="s">
        <v>1741</v>
      </c>
      <c r="N9" s="57" t="s">
        <v>1752</v>
      </c>
      <c r="O9" s="57" t="s">
        <v>1717</v>
      </c>
      <c r="P9" s="57">
        <v>200</v>
      </c>
      <c r="Q9" s="57">
        <v>173.80952500000001</v>
      </c>
      <c r="R9" s="57">
        <f>IFERROR(Table6[[#This Row],[Redbook WAC price per tablet/capsule (Jan 2017)]]/Table6[[#This Row],[Redbook package strength (mg) (Jan 2017)]], "")</f>
        <v>0.86904762499999999</v>
      </c>
      <c r="S9" s="74" t="s">
        <v>1741</v>
      </c>
      <c r="T9" s="57" t="s">
        <v>1752</v>
      </c>
      <c r="U9" s="57" t="s">
        <v>1717</v>
      </c>
      <c r="V9" s="57">
        <v>200</v>
      </c>
      <c r="W9" s="284">
        <v>179.023808</v>
      </c>
      <c r="X9" s="284">
        <f>IFERROR(Table6[[#This Row],[Redbook WAC price per tablet/capsule (Jul 2017)]]/Table6[[#This Row],[Redbook package strength (mg) (Jul 2017)]], "")</f>
        <v>0.89511903999999998</v>
      </c>
      <c r="Y9" s="57" t="s">
        <v>1741</v>
      </c>
      <c r="Z9" s="388" t="s">
        <v>1752</v>
      </c>
      <c r="AA9" s="389" t="s">
        <v>1717</v>
      </c>
      <c r="AB9" s="158">
        <v>200</v>
      </c>
      <c r="AC9" s="390">
        <v>179.02380833333336</v>
      </c>
      <c r="AD9" s="390">
        <f>Table6[[#This Row],[Redbook WAC price per tablet/capsule (Jan 2018)]]/Table6[[#This Row],[Redbook package strength (mg) (Jan 2018)]]</f>
        <v>0.89511904166666678</v>
      </c>
      <c r="AE9" s="391" t="s">
        <v>1741</v>
      </c>
      <c r="AF9" s="388" t="s">
        <v>1752</v>
      </c>
      <c r="AG9" s="389" t="s">
        <v>1717</v>
      </c>
      <c r="AH9" s="397">
        <v>200</v>
      </c>
      <c r="AI9" s="399">
        <v>189.76520833333336</v>
      </c>
      <c r="AJ9" s="399">
        <f>Table6[[#This Row],[Redbook WAC price per tablet/capsule (Jul 2018)]]/Table6[[#This Row],[Redbook package strength (mg) (Jul 2018)]]</f>
        <v>0.94882604166666684</v>
      </c>
      <c r="AK9" s="391" t="s">
        <v>1741</v>
      </c>
      <c r="AL9" s="57" t="s">
        <v>1752</v>
      </c>
      <c r="AM9" s="57" t="s">
        <v>1717</v>
      </c>
      <c r="AN9" s="57">
        <v>200</v>
      </c>
      <c r="AO9" s="58">
        <v>189.76519999999999</v>
      </c>
      <c r="AP9" s="58">
        <f>IFERROR(Table6[[#This Row],[Redbook WAC price per tablet/capsule (Jan 2019)]]/Table6[[#This Row],[Redbook package strength (mg) (Jan 2019)]], "")</f>
        <v>0.94882599999999995</v>
      </c>
      <c r="AQ9" s="74" t="s">
        <v>1741</v>
      </c>
      <c r="AR9" s="73" t="s">
        <v>1752</v>
      </c>
      <c r="AS9" s="57" t="s">
        <v>1717</v>
      </c>
      <c r="AT9" s="57">
        <v>200</v>
      </c>
      <c r="AU9" s="58">
        <v>199.2535</v>
      </c>
      <c r="AV9" s="58">
        <f>IFERROR(Table6[[#This Row],[Redbook WAC price per tablet/capsule (Jul 2019)]]/Table6[[#This Row],[Redbook package strength (mg) (Jul 2019)]], "")</f>
        <v>0.99626749999999997</v>
      </c>
      <c r="AW9" s="74" t="s">
        <v>1741</v>
      </c>
      <c r="AX9" s="73" t="s">
        <v>1752</v>
      </c>
      <c r="AY9" s="57" t="s">
        <v>1717</v>
      </c>
      <c r="AZ9" s="57">
        <v>200</v>
      </c>
      <c r="BA9" s="59">
        <v>199.2535</v>
      </c>
      <c r="BB9" s="59">
        <f>IFERROR(Table6[[#This Row],[Redbook WAC price per tablet/capsule (Jan 2020)]]/Table6[[#This Row],[Redbook package strength (mg) (Jan 2020)]], "")</f>
        <v>0.99626749999999997</v>
      </c>
      <c r="BC9" t="s">
        <v>1741</v>
      </c>
      <c r="BD9" s="73" t="s">
        <v>1752</v>
      </c>
      <c r="BE9" s="57" t="s">
        <v>1717</v>
      </c>
      <c r="BF9" s="57">
        <v>200</v>
      </c>
      <c r="BG9" s="58">
        <v>210.2124</v>
      </c>
      <c r="BH9" s="58">
        <f>IFERROR(Table6[[#This Row],[Redbook WAC price per tablet/capsule (Jul 2020)]]/Table6[[#This Row],[Redbook package strength (mg) (Jul 2020)]], "")</f>
        <v>1.0510619999999999</v>
      </c>
      <c r="BI9" s="74" t="s">
        <v>1741</v>
      </c>
      <c r="BJ9" s="57" t="s">
        <v>1752</v>
      </c>
      <c r="BK9" s="57" t="s">
        <v>1717</v>
      </c>
      <c r="BL9" s="57">
        <v>200</v>
      </c>
      <c r="BM9" s="58">
        <v>210.2124</v>
      </c>
      <c r="BN9" s="58">
        <f>IFERROR(Table6[[#This Row],[Redbook WAC price per tablet/capsule (Jan 2021)]]/Table6[[#This Row],[Redbook package strength (mg) (Jan 2021)]], "")</f>
        <v>1.0510619999999999</v>
      </c>
      <c r="BO9" s="57" t="s">
        <v>1741</v>
      </c>
      <c r="BP9" s="73" t="s">
        <v>1752</v>
      </c>
      <c r="BQ9" s="57" t="s">
        <v>1717</v>
      </c>
      <c r="BR9" s="57">
        <v>200</v>
      </c>
      <c r="BS9" s="58">
        <v>224.92724999999999</v>
      </c>
      <c r="BT9" s="58">
        <f>IFERROR(Table6[[#This Row],[Redbook WAC price per tablet/capsule (Jul 2021)]]/Table6[[#This Row],[Redbook package strength (mg) (Jul 2021)]], "")</f>
        <v>1.12463625</v>
      </c>
      <c r="BU9" s="57" t="s">
        <v>1741</v>
      </c>
      <c r="BV9" s="73" t="s">
        <v>1752</v>
      </c>
      <c r="BW9" s="57" t="s">
        <v>1717</v>
      </c>
      <c r="BX9" s="57">
        <v>200</v>
      </c>
      <c r="BY9" s="58">
        <v>224.93</v>
      </c>
      <c r="BZ9" s="58">
        <f>IFERROR(Table6[[#This Row],[Redbook WAC price per tablet/capsule (Jan 2022)]]/Table6[[#This Row],[Redbook package strength (mg) (Jan 2022)]], "")</f>
        <v>1.1246499999999999</v>
      </c>
      <c r="CA9" s="74" t="s">
        <v>1741</v>
      </c>
      <c r="CB9" s="57" t="s">
        <v>1752</v>
      </c>
      <c r="CC9" s="57" t="s">
        <v>1717</v>
      </c>
      <c r="CD9" s="188">
        <v>200</v>
      </c>
      <c r="CE9" s="58">
        <v>240.67222000000001</v>
      </c>
      <c r="CF9" s="58">
        <f>IFERROR(Table6[[#This Row],[Redbook WAC price per tablet/capsule (Jul 2022)]]/Table6[[#This Row],[Redbook package strength (mg) (Jul 2022)]], "")</f>
        <v>1.2033611</v>
      </c>
      <c r="CG9" s="74" t="s">
        <v>1741</v>
      </c>
      <c r="CH9" s="158" t="s">
        <v>1752</v>
      </c>
      <c r="CI9" s="57" t="s">
        <v>1717</v>
      </c>
      <c r="CJ9" s="57">
        <v>200</v>
      </c>
      <c r="CK9" s="249">
        <v>259.92603000000003</v>
      </c>
      <c r="CL9" s="58">
        <f>IFERROR(Table6[[#This Row],[Redbook WAC price per tablet/capsule (Jan 2023)]]/Table6[[#This Row],[Redbook package strength (mg) (Jan 2023)]], "")</f>
        <v>1.29963015</v>
      </c>
      <c r="CM9" s="57" t="s">
        <v>1741</v>
      </c>
      <c r="CN9" s="1" t="s">
        <v>2688</v>
      </c>
    </row>
    <row r="10" spans="1:92" x14ac:dyDescent="0.3">
      <c r="A10" s="91" t="s">
        <v>17</v>
      </c>
      <c r="B10" s="57"/>
      <c r="C10" s="57"/>
      <c r="D10" s="57"/>
      <c r="E10" s="57"/>
      <c r="F10" s="57" t="str">
        <f>IFERROR(Table6[[#This Row],[Redbook WAC price per tablet/capsule (Jan 2016)]]/Table6[[#This Row],[Redbook package strength (mg) (Jan 2016)]], "")</f>
        <v/>
      </c>
      <c r="G10" s="74"/>
      <c r="H10" s="57"/>
      <c r="I10" s="57"/>
      <c r="J10" s="57"/>
      <c r="K10" s="57"/>
      <c r="L10" s="57" t="str">
        <f>IFERROR(Table6[[#This Row],[Redbook WAC price per tablet/capsule (Jul 2016)]]/Table6[[#This Row],[Redbook package strength (mg) (Jul 2016)]], "")</f>
        <v/>
      </c>
      <c r="M10" s="74"/>
      <c r="N10" s="57"/>
      <c r="O10" s="57"/>
      <c r="P10" s="57"/>
      <c r="Q10" s="57"/>
      <c r="R10" s="57" t="str">
        <f>IFERROR(Table6[[#This Row],[Redbook WAC price per tablet/capsule (Jan 2017)]]/Table6[[#This Row],[Redbook package strength (mg) (Jan 2017)]], "")</f>
        <v/>
      </c>
      <c r="S10" s="74"/>
      <c r="T10" s="57" t="s">
        <v>1836</v>
      </c>
      <c r="U10" s="57" t="s">
        <v>1837</v>
      </c>
      <c r="V10" s="57">
        <v>200</v>
      </c>
      <c r="W10" s="284">
        <v>195.5</v>
      </c>
      <c r="X10" s="284">
        <f>IFERROR(Table6[[#This Row],[Redbook WAC price per tablet/capsule (Jul 2017)]]/Table6[[#This Row],[Redbook package strength (mg) (Jul 2017)]], "")</f>
        <v>0.97750000000000004</v>
      </c>
      <c r="Y10" s="57" t="s">
        <v>1741</v>
      </c>
      <c r="Z10" s="388" t="s">
        <v>1836</v>
      </c>
      <c r="AA10" s="389" t="s">
        <v>1837</v>
      </c>
      <c r="AB10" s="158">
        <v>200</v>
      </c>
      <c r="AC10" s="390">
        <v>195.5</v>
      </c>
      <c r="AD10" s="390">
        <f>Table6[[#This Row],[Redbook WAC price per tablet/capsule (Jan 2018)]]/Table6[[#This Row],[Redbook package strength (mg) (Jan 2018)]]</f>
        <v>0.97750000000000004</v>
      </c>
      <c r="AE10" s="391" t="s">
        <v>1741</v>
      </c>
      <c r="AF10" s="388" t="s">
        <v>1836</v>
      </c>
      <c r="AG10" s="389" t="s">
        <v>1837</v>
      </c>
      <c r="AH10" s="397">
        <v>200</v>
      </c>
      <c r="AI10" s="399">
        <v>201.45000000000002</v>
      </c>
      <c r="AJ10" s="399">
        <f>Table6[[#This Row],[Redbook WAC price per tablet/capsule (Jul 2018)]]/Table6[[#This Row],[Redbook package strength (mg) (Jul 2018)]]</f>
        <v>1.00725</v>
      </c>
      <c r="AK10" s="391" t="s">
        <v>1741</v>
      </c>
      <c r="AL10" s="57" t="s">
        <v>1836</v>
      </c>
      <c r="AM10" s="57" t="s">
        <v>1837</v>
      </c>
      <c r="AN10" s="57">
        <v>200</v>
      </c>
      <c r="AO10" s="58">
        <v>201.45</v>
      </c>
      <c r="AP10" s="58">
        <f>IFERROR(Table6[[#This Row],[Redbook WAC price per tablet/capsule (Jan 2019)]]/Table6[[#This Row],[Redbook package strength (mg) (Jan 2019)]], "")</f>
        <v>1.00725</v>
      </c>
      <c r="AQ10" s="74" t="s">
        <v>1741</v>
      </c>
      <c r="AR10" s="73" t="s">
        <v>1836</v>
      </c>
      <c r="AS10" s="57" t="s">
        <v>1837</v>
      </c>
      <c r="AT10" s="57">
        <v>200</v>
      </c>
      <c r="AU10" s="58">
        <v>209.5</v>
      </c>
      <c r="AV10" s="58">
        <f>IFERROR(Table6[[#This Row],[Redbook WAC price per tablet/capsule (Jul 2019)]]/Table6[[#This Row],[Redbook package strength (mg) (Jul 2019)]], "")</f>
        <v>1.0475000000000001</v>
      </c>
      <c r="AW10" s="74" t="s">
        <v>1741</v>
      </c>
      <c r="AX10" s="73" t="s">
        <v>1836</v>
      </c>
      <c r="AY10" s="57" t="s">
        <v>1837</v>
      </c>
      <c r="AZ10" s="57">
        <v>200</v>
      </c>
      <c r="BA10" s="58">
        <v>209.5</v>
      </c>
      <c r="BB10" s="59">
        <f>IFERROR(Table6[[#This Row],[Redbook WAC price per tablet/capsule (Jan 2020)]]/Table6[[#This Row],[Redbook package strength (mg) (Jan 2020)]], "")</f>
        <v>1.0475000000000001</v>
      </c>
      <c r="BC10" t="s">
        <v>1741</v>
      </c>
      <c r="BD10" s="73" t="s">
        <v>1836</v>
      </c>
      <c r="BE10" s="57" t="s">
        <v>1837</v>
      </c>
      <c r="BF10" s="57">
        <v>200</v>
      </c>
      <c r="BG10" s="58">
        <v>221.02</v>
      </c>
      <c r="BH10" s="58">
        <f>IFERROR(Table6[[#This Row],[Redbook WAC price per tablet/capsule (Jul 2020)]]/Table6[[#This Row],[Redbook package strength (mg) (Jul 2020)]], "")</f>
        <v>1.1051</v>
      </c>
      <c r="BI10" s="74" t="s">
        <v>1741</v>
      </c>
      <c r="BJ10" s="57" t="s">
        <v>1836</v>
      </c>
      <c r="BK10" s="57" t="s">
        <v>1837</v>
      </c>
      <c r="BL10" s="57">
        <v>200</v>
      </c>
      <c r="BM10" s="58">
        <v>221.02</v>
      </c>
      <c r="BN10" s="58">
        <f>IFERROR(Table6[[#This Row],[Redbook WAC price per tablet/capsule (Jan 2021)]]/Table6[[#This Row],[Redbook package strength (mg) (Jan 2021)]], "")</f>
        <v>1.1051</v>
      </c>
      <c r="BO10" s="57" t="s">
        <v>1741</v>
      </c>
      <c r="BP10" s="73" t="s">
        <v>1836</v>
      </c>
      <c r="BQ10" s="57" t="s">
        <v>1837</v>
      </c>
      <c r="BR10" s="57">
        <v>200</v>
      </c>
      <c r="BS10" s="58">
        <v>233.17975999999999</v>
      </c>
      <c r="BT10" s="58">
        <f>IFERROR(Table6[[#This Row],[Redbook WAC price per tablet/capsule (Jul 2021)]]/Table6[[#This Row],[Redbook package strength (mg) (Jul 2021)]], "")</f>
        <v>1.1658987999999999</v>
      </c>
      <c r="BU10" s="57" t="s">
        <v>1741</v>
      </c>
      <c r="BV10" s="73" t="s">
        <v>1836</v>
      </c>
      <c r="BW10" s="57" t="s">
        <v>1837</v>
      </c>
      <c r="BX10" s="57">
        <v>200</v>
      </c>
      <c r="BY10" s="58">
        <v>233.18</v>
      </c>
      <c r="BZ10" s="58">
        <f>IFERROR(Table6[[#This Row],[Redbook WAC price per tablet/capsule (Jan 2022)]]/Table6[[#This Row],[Redbook package strength (mg) (Jan 2022)]], "")</f>
        <v>1.1658999999999999</v>
      </c>
      <c r="CA10" s="74" t="s">
        <v>1741</v>
      </c>
      <c r="CB10" s="57" t="s">
        <v>1836</v>
      </c>
      <c r="CC10" s="57" t="s">
        <v>1837</v>
      </c>
      <c r="CD10" s="57">
        <v>200</v>
      </c>
      <c r="CE10" s="58">
        <v>246</v>
      </c>
      <c r="CF10" s="58">
        <f>IFERROR(Table6[[#This Row],[Redbook WAC price per tablet/capsule (Jul 2022)]]/Table6[[#This Row],[Redbook package strength (mg) (Jul 2022)]], "")</f>
        <v>1.23</v>
      </c>
      <c r="CG10" s="74" t="s">
        <v>1741</v>
      </c>
      <c r="CH10" s="57" t="s">
        <v>1836</v>
      </c>
      <c r="CI10" s="57" t="s">
        <v>1837</v>
      </c>
      <c r="CJ10" s="57">
        <v>200</v>
      </c>
      <c r="CK10" s="58">
        <v>259.52999999999997</v>
      </c>
      <c r="CL10" s="58">
        <f>IFERROR(Table6[[#This Row],[Redbook WAC price per tablet/capsule (Jan 2023)]]/Table6[[#This Row],[Redbook package strength (mg) (Jan 2023)]], "")</f>
        <v>1.29765</v>
      </c>
      <c r="CM10" s="57" t="s">
        <v>1741</v>
      </c>
    </row>
    <row r="11" spans="1:92" x14ac:dyDescent="0.3">
      <c r="A11" s="83" t="s">
        <v>18</v>
      </c>
      <c r="B11" s="57" t="s">
        <v>1847</v>
      </c>
      <c r="C11" s="57" t="s">
        <v>1848</v>
      </c>
      <c r="D11" s="57">
        <v>40</v>
      </c>
      <c r="E11" s="57">
        <v>0.32</v>
      </c>
      <c r="F11" s="57">
        <f>IFERROR(Table6[[#This Row],[Redbook WAC price per tablet/capsule (Jan 2016)]]/Table6[[#This Row],[Redbook package strength (mg) (Jan 2016)]], "")</f>
        <v>8.0000000000000002E-3</v>
      </c>
      <c r="G11" s="74" t="s">
        <v>1741</v>
      </c>
      <c r="H11" s="57" t="s">
        <v>1847</v>
      </c>
      <c r="I11" s="57" t="s">
        <v>1848</v>
      </c>
      <c r="J11" s="57">
        <v>40</v>
      </c>
      <c r="K11" s="57">
        <v>0.32</v>
      </c>
      <c r="L11" s="57">
        <f>IFERROR(Table6[[#This Row],[Redbook WAC price per tablet/capsule (Jul 2016)]]/Table6[[#This Row],[Redbook package strength (mg) (Jul 2016)]], "")</f>
        <v>8.0000000000000002E-3</v>
      </c>
      <c r="M11" s="74" t="s">
        <v>1741</v>
      </c>
      <c r="N11" s="57" t="s">
        <v>1847</v>
      </c>
      <c r="O11" s="57" t="s">
        <v>1848</v>
      </c>
      <c r="P11" s="57">
        <v>40</v>
      </c>
      <c r="Q11" s="57">
        <v>0.32</v>
      </c>
      <c r="R11" s="57">
        <f>IFERROR(Table6[[#This Row],[Redbook WAC price per tablet/capsule (Jan 2017)]]/Table6[[#This Row],[Redbook package strength (mg) (Jan 2017)]], "")</f>
        <v>8.0000000000000002E-3</v>
      </c>
      <c r="S11" s="74" t="s">
        <v>1741</v>
      </c>
      <c r="T11" s="57" t="s">
        <v>1847</v>
      </c>
      <c r="U11" s="57" t="s">
        <v>1848</v>
      </c>
      <c r="V11" s="57">
        <v>40</v>
      </c>
      <c r="W11" s="284">
        <v>0.32</v>
      </c>
      <c r="X11" s="284">
        <f>IFERROR(Table6[[#This Row],[Redbook WAC price per tablet/capsule (Jul 2017)]]/Table6[[#This Row],[Redbook package strength (mg) (Jul 2017)]], "")</f>
        <v>8.0000000000000002E-3</v>
      </c>
      <c r="Y11" s="57" t="s">
        <v>1741</v>
      </c>
      <c r="Z11" s="388" t="s">
        <v>1847</v>
      </c>
      <c r="AA11" s="389" t="s">
        <v>1848</v>
      </c>
      <c r="AB11" s="158">
        <v>40</v>
      </c>
      <c r="AC11" s="390">
        <v>0.32</v>
      </c>
      <c r="AD11" s="390">
        <f>Table6[[#This Row],[Redbook WAC price per tablet/capsule (Jan 2018)]]/Table6[[#This Row],[Redbook package strength (mg) (Jan 2018)]]</f>
        <v>8.0000000000000002E-3</v>
      </c>
      <c r="AE11" s="391" t="s">
        <v>1741</v>
      </c>
      <c r="AF11" s="388" t="s">
        <v>1847</v>
      </c>
      <c r="AG11" s="389" t="s">
        <v>1848</v>
      </c>
      <c r="AH11" s="397">
        <v>40</v>
      </c>
      <c r="AI11" s="399">
        <v>0.32</v>
      </c>
      <c r="AJ11" s="399">
        <f>Table6[[#This Row],[Redbook WAC price per tablet/capsule (Jul 2018)]]/Table6[[#This Row],[Redbook package strength (mg) (Jul 2018)]]</f>
        <v>8.0000000000000002E-3</v>
      </c>
      <c r="AK11" s="391" t="s">
        <v>1741</v>
      </c>
      <c r="AL11" s="57" t="s">
        <v>1847</v>
      </c>
      <c r="AM11" s="57" t="s">
        <v>1848</v>
      </c>
      <c r="AN11" s="57">
        <v>40</v>
      </c>
      <c r="AO11" s="58">
        <v>0.32</v>
      </c>
      <c r="AP11" s="58">
        <f>IFERROR(Table6[[#This Row],[Redbook WAC price per tablet/capsule (Jan 2019)]]/Table6[[#This Row],[Redbook package strength (mg) (Jan 2019)]], "")</f>
        <v>8.0000000000000002E-3</v>
      </c>
      <c r="AQ11" s="74" t="s">
        <v>1741</v>
      </c>
      <c r="AR11" s="73" t="s">
        <v>1847</v>
      </c>
      <c r="AS11" s="57" t="s">
        <v>1848</v>
      </c>
      <c r="AT11" s="57">
        <v>40</v>
      </c>
      <c r="AU11" s="58">
        <v>0.32</v>
      </c>
      <c r="AV11" s="58">
        <f>IFERROR(Table6[[#This Row],[Redbook WAC price per tablet/capsule (Jul 2019)]]/Table6[[#This Row],[Redbook package strength (mg) (Jul 2019)]], "")</f>
        <v>8.0000000000000002E-3</v>
      </c>
      <c r="AW11" s="74" t="s">
        <v>1741</v>
      </c>
      <c r="AX11" s="73" t="s">
        <v>1847</v>
      </c>
      <c r="AY11" s="57" t="s">
        <v>1848</v>
      </c>
      <c r="AZ11" s="57">
        <v>40</v>
      </c>
      <c r="BA11" s="58">
        <v>0.32</v>
      </c>
      <c r="BB11" s="59">
        <f>IFERROR(Table6[[#This Row],[Redbook WAC price per tablet/capsule (Jan 2020)]]/Table6[[#This Row],[Redbook package strength (mg) (Jan 2020)]], "")</f>
        <v>8.0000000000000002E-3</v>
      </c>
      <c r="BC11" t="s">
        <v>1741</v>
      </c>
      <c r="BD11" s="73" t="s">
        <v>1847</v>
      </c>
      <c r="BE11" s="57" t="s">
        <v>1848</v>
      </c>
      <c r="BF11" s="57">
        <v>40</v>
      </c>
      <c r="BG11" s="58">
        <v>0.32</v>
      </c>
      <c r="BH11" s="58">
        <f>IFERROR(Table6[[#This Row],[Redbook WAC price per tablet/capsule (Jul 2020)]]/Table6[[#This Row],[Redbook package strength (mg) (Jul 2020)]], "")</f>
        <v>8.0000000000000002E-3</v>
      </c>
      <c r="BI11" s="74" t="s">
        <v>1741</v>
      </c>
      <c r="BJ11" s="57" t="s">
        <v>1847</v>
      </c>
      <c r="BK11" s="57" t="s">
        <v>1848</v>
      </c>
      <c r="BL11" s="57">
        <v>40</v>
      </c>
      <c r="BM11" s="58">
        <v>0.32</v>
      </c>
      <c r="BN11" s="58">
        <f>IFERROR(Table6[[#This Row],[Redbook WAC price per tablet/capsule (Jan 2021)]]/Table6[[#This Row],[Redbook package strength (mg) (Jan 2021)]], "")</f>
        <v>8.0000000000000002E-3</v>
      </c>
      <c r="BO11" s="57" t="s">
        <v>1741</v>
      </c>
      <c r="BP11" s="73" t="s">
        <v>1847</v>
      </c>
      <c r="BQ11" s="57" t="s">
        <v>1848</v>
      </c>
      <c r="BR11" s="57">
        <v>40</v>
      </c>
      <c r="BS11" s="58">
        <v>0.32</v>
      </c>
      <c r="BT11" s="58">
        <f>IFERROR(Table6[[#This Row],[Redbook WAC price per tablet/capsule (Jul 2021)]]/Table6[[#This Row],[Redbook package strength (mg) (Jul 2021)]], "")</f>
        <v>8.0000000000000002E-3</v>
      </c>
      <c r="BU11" s="57" t="s">
        <v>1741</v>
      </c>
      <c r="BV11" s="186" t="s">
        <v>1847</v>
      </c>
      <c r="BW11" s="158" t="s">
        <v>1848</v>
      </c>
      <c r="BX11" s="57">
        <v>40</v>
      </c>
      <c r="BY11" s="58">
        <v>0.32</v>
      </c>
      <c r="BZ11" s="58">
        <f>IFERROR(Table6[[#This Row],[Redbook WAC price per tablet/capsule (Jan 2022)]]/Table6[[#This Row],[Redbook package strength (mg) (Jan 2022)]], "")</f>
        <v>8.0000000000000002E-3</v>
      </c>
      <c r="CA11" s="74" t="s">
        <v>1741</v>
      </c>
      <c r="CB11" s="57" t="s">
        <v>2142</v>
      </c>
      <c r="CC11" s="57" t="s">
        <v>1848</v>
      </c>
      <c r="CD11" s="57">
        <v>40</v>
      </c>
      <c r="CE11" s="58">
        <v>0.69799999999999995</v>
      </c>
      <c r="CF11" s="58">
        <f>IFERROR(Table6[[#This Row],[Redbook WAC price per tablet/capsule (Jul 2022)]]/Table6[[#This Row],[Redbook package strength (mg) (Jul 2022)]], "")</f>
        <v>1.745E-2</v>
      </c>
      <c r="CG11" s="74" t="s">
        <v>1741</v>
      </c>
      <c r="CH11" s="248" t="s">
        <v>2142</v>
      </c>
      <c r="CI11" s="57" t="s">
        <v>1848</v>
      </c>
      <c r="CJ11" s="57">
        <v>40</v>
      </c>
      <c r="CK11" s="58">
        <v>0.69799999999999995</v>
      </c>
      <c r="CL11" s="58">
        <f>IFERROR(Table6[[#This Row],[Redbook WAC price per tablet/capsule (Jan 2023)]]/Table6[[#This Row],[Redbook package strength (mg) (Jan 2023)]], "")</f>
        <v>1.745E-2</v>
      </c>
      <c r="CM11" s="57" t="s">
        <v>1741</v>
      </c>
      <c r="CN11" t="s">
        <v>1846</v>
      </c>
    </row>
    <row r="12" spans="1:92" x14ac:dyDescent="0.3">
      <c r="A12" s="85" t="s">
        <v>23</v>
      </c>
      <c r="B12" s="57"/>
      <c r="C12" s="57"/>
      <c r="D12" s="57"/>
      <c r="E12" s="57"/>
      <c r="F12" s="57" t="str">
        <f>IFERROR(Table6[[#This Row],[Redbook WAC price per tablet/capsule (Jan 2016)]]/Table6[[#This Row],[Redbook package strength (mg) (Jan 2016)]], "")</f>
        <v/>
      </c>
      <c r="G12" s="74"/>
      <c r="H12" s="57" t="s">
        <v>1753</v>
      </c>
      <c r="I12" s="57" t="s">
        <v>1479</v>
      </c>
      <c r="J12" s="57">
        <v>150</v>
      </c>
      <c r="K12" s="57">
        <v>112.35</v>
      </c>
      <c r="L12" s="57">
        <f>IFERROR(Table6[[#This Row],[Redbook WAC price per tablet/capsule (Jul 2016)]]/Table6[[#This Row],[Redbook package strength (mg) (Jul 2016)]], "")</f>
        <v>0.749</v>
      </c>
      <c r="M12" s="74" t="s">
        <v>1741</v>
      </c>
      <c r="N12" s="57" t="s">
        <v>1753</v>
      </c>
      <c r="O12" s="57" t="s">
        <v>1479</v>
      </c>
      <c r="P12" s="57">
        <v>150</v>
      </c>
      <c r="Q12" s="57">
        <v>112.35</v>
      </c>
      <c r="R12" s="57">
        <f>IFERROR(Table6[[#This Row],[Redbook WAC price per tablet/capsule (Jan 2017)]]/Table6[[#This Row],[Redbook package strength (mg) (Jan 2017)]], "")</f>
        <v>0.749</v>
      </c>
      <c r="S12" s="74" t="s">
        <v>1741</v>
      </c>
      <c r="T12" s="57" t="s">
        <v>1753</v>
      </c>
      <c r="U12" s="57" t="s">
        <v>1479</v>
      </c>
      <c r="V12" s="57">
        <v>150</v>
      </c>
      <c r="W12" s="284">
        <v>112.35</v>
      </c>
      <c r="X12" s="284">
        <f>IFERROR(Table6[[#This Row],[Redbook WAC price per tablet/capsule (Jul 2017)]]/Table6[[#This Row],[Redbook package strength (mg) (Jul 2017)]], "")</f>
        <v>0.749</v>
      </c>
      <c r="Y12" s="57" t="s">
        <v>1741</v>
      </c>
      <c r="Z12" s="388" t="s">
        <v>1753</v>
      </c>
      <c r="AA12" s="389" t="s">
        <v>1479</v>
      </c>
      <c r="AB12" s="158">
        <v>150</v>
      </c>
      <c r="AC12" s="390">
        <v>115.72055833333333</v>
      </c>
      <c r="AD12" s="390">
        <f>Table6[[#This Row],[Redbook WAC price per tablet/capsule (Jan 2018)]]/Table6[[#This Row],[Redbook package strength (mg) (Jan 2018)]]</f>
        <v>0.77147038888888886</v>
      </c>
      <c r="AE12" s="391" t="s">
        <v>1741</v>
      </c>
      <c r="AF12" s="388" t="s">
        <v>1753</v>
      </c>
      <c r="AG12" s="389" t="s">
        <v>1479</v>
      </c>
      <c r="AH12" s="397">
        <v>150</v>
      </c>
      <c r="AI12" s="399">
        <v>115.72048333333333</v>
      </c>
      <c r="AJ12" s="399">
        <f>Table6[[#This Row],[Redbook WAC price per tablet/capsule (Jul 2018)]]/Table6[[#This Row],[Redbook package strength (mg) (Jul 2018)]]</f>
        <v>0.7714698888888889</v>
      </c>
      <c r="AK12" s="391" t="s">
        <v>1741</v>
      </c>
      <c r="AL12" s="57" t="s">
        <v>1753</v>
      </c>
      <c r="AM12" s="57" t="s">
        <v>1479</v>
      </c>
      <c r="AN12" s="57">
        <v>150</v>
      </c>
      <c r="AO12" s="58">
        <v>115.7205</v>
      </c>
      <c r="AP12" s="58">
        <f>IFERROR(Table6[[#This Row],[Redbook WAC price per tablet/capsule (Jan 2019)]]/Table6[[#This Row],[Redbook package strength (mg) (Jan 2019)]], "")</f>
        <v>0.77146999999999999</v>
      </c>
      <c r="AQ12" s="74" t="s">
        <v>1741</v>
      </c>
      <c r="AR12" s="73" t="s">
        <v>1753</v>
      </c>
      <c r="AS12" s="57" t="s">
        <v>1479</v>
      </c>
      <c r="AT12" s="57">
        <v>150</v>
      </c>
      <c r="AU12" s="58">
        <v>116.8777</v>
      </c>
      <c r="AV12" s="58">
        <f>IFERROR(Table6[[#This Row],[Redbook WAC price per tablet/capsule (Jul 2019)]]/Table6[[#This Row],[Redbook package strength (mg) (Jul 2019)]], "")</f>
        <v>0.77918466666666675</v>
      </c>
      <c r="AW12" s="74" t="s">
        <v>1741</v>
      </c>
      <c r="AX12" s="73" t="s">
        <v>1753</v>
      </c>
      <c r="AY12" s="57" t="s">
        <v>1479</v>
      </c>
      <c r="AZ12" s="57">
        <v>150</v>
      </c>
      <c r="BA12" s="59">
        <v>118.04649999999999</v>
      </c>
      <c r="BB12" s="59">
        <f>IFERROR(Table6[[#This Row],[Redbook WAC price per tablet/capsule (Jan 2020)]]/Table6[[#This Row],[Redbook package strength (mg) (Jan 2020)]], "")</f>
        <v>0.78697666666666666</v>
      </c>
      <c r="BC12" t="s">
        <v>1741</v>
      </c>
      <c r="BD12" s="73" t="s">
        <v>1753</v>
      </c>
      <c r="BE12" s="57" t="s">
        <v>1479</v>
      </c>
      <c r="BF12" s="57">
        <v>150</v>
      </c>
      <c r="BG12" s="58">
        <v>120.40742</v>
      </c>
      <c r="BH12" s="58">
        <f>IFERROR(Table6[[#This Row],[Redbook WAC price per tablet/capsule (Jul 2020)]]/Table6[[#This Row],[Redbook package strength (mg) (Jul 2020)]], "")</f>
        <v>0.80271613333333336</v>
      </c>
      <c r="BI12" s="74" t="s">
        <v>1741</v>
      </c>
      <c r="BJ12" s="57" t="s">
        <v>1753</v>
      </c>
      <c r="BK12" s="57" t="s">
        <v>1479</v>
      </c>
      <c r="BL12" s="57">
        <v>150</v>
      </c>
      <c r="BM12" s="58">
        <v>120.40742</v>
      </c>
      <c r="BN12" s="58">
        <f>IFERROR(Table6[[#This Row],[Redbook WAC price per tablet/capsule (Jan 2021)]]/Table6[[#This Row],[Redbook package strength (mg) (Jan 2021)]], "")</f>
        <v>0.80271613333333336</v>
      </c>
      <c r="BO12" s="57" t="s">
        <v>1741</v>
      </c>
      <c r="BP12" s="73" t="s">
        <v>1753</v>
      </c>
      <c r="BQ12" s="57" t="s">
        <v>1479</v>
      </c>
      <c r="BR12" s="57">
        <v>150</v>
      </c>
      <c r="BS12" s="58">
        <v>120.40742</v>
      </c>
      <c r="BT12" s="58">
        <f>IFERROR(Table6[[#This Row],[Redbook WAC price per tablet/capsule (Jul 2021)]]/Table6[[#This Row],[Redbook package strength (mg) (Jul 2021)]], "")</f>
        <v>0.80271613333333336</v>
      </c>
      <c r="BU12" s="57" t="s">
        <v>1741</v>
      </c>
      <c r="BV12" s="186" t="s">
        <v>1753</v>
      </c>
      <c r="BW12" s="158" t="s">
        <v>1479</v>
      </c>
      <c r="BX12" s="57">
        <v>150</v>
      </c>
      <c r="BY12" s="58">
        <v>124.02</v>
      </c>
      <c r="BZ12" s="58">
        <f>IFERROR(Table6[[#This Row],[Redbook WAC price per tablet/capsule (Jan 2022)]]/Table6[[#This Row],[Redbook package strength (mg) (Jan 2022)]], "")</f>
        <v>0.82679999999999998</v>
      </c>
      <c r="CA12" s="74" t="s">
        <v>1741</v>
      </c>
      <c r="CB12" s="57" t="s">
        <v>1753</v>
      </c>
      <c r="CC12" s="57" t="s">
        <v>1479</v>
      </c>
      <c r="CD12" s="57">
        <v>150</v>
      </c>
      <c r="CE12" s="58">
        <v>124.01967</v>
      </c>
      <c r="CF12" s="58">
        <f>IFERROR(Table6[[#This Row],[Redbook WAC price per tablet/capsule (Jul 2022)]]/Table6[[#This Row],[Redbook package strength (mg) (Jul 2022)]], "")</f>
        <v>0.82679780000000003</v>
      </c>
      <c r="CG12" s="74" t="s">
        <v>1741</v>
      </c>
      <c r="CH12" s="57" t="s">
        <v>1753</v>
      </c>
      <c r="CI12" s="57" t="s">
        <v>1479</v>
      </c>
      <c r="CJ12" s="57">
        <v>150</v>
      </c>
      <c r="CK12" s="58">
        <v>132.39099999999999</v>
      </c>
      <c r="CL12" s="58">
        <f>IFERROR(Table6[[#This Row],[Redbook WAC price per tablet/capsule (Jan 2023)]]/Table6[[#This Row],[Redbook package strength (mg) (Jan 2023)]], "")</f>
        <v>0.88260666666666665</v>
      </c>
      <c r="CM12" s="57" t="s">
        <v>1741</v>
      </c>
      <c r="CN12" s="1"/>
    </row>
    <row r="13" spans="1:92" x14ac:dyDescent="0.3">
      <c r="A13" s="83" t="s">
        <v>24</v>
      </c>
      <c r="B13" s="57"/>
      <c r="C13" s="57"/>
      <c r="D13" s="57"/>
      <c r="E13" s="57"/>
      <c r="F13" s="57" t="str">
        <f>IFERROR(Table6[[#This Row],[Redbook WAC price per tablet/capsule (Jan 2016)]]/Table6[[#This Row],[Redbook package strength (mg) (Jan 2016)]], "")</f>
        <v/>
      </c>
      <c r="G13" s="74"/>
      <c r="H13" s="57"/>
      <c r="I13" s="57"/>
      <c r="J13" s="57"/>
      <c r="K13" s="57"/>
      <c r="L13" s="57" t="str">
        <f>IFERROR(Table6[[#This Row],[Redbook WAC price per tablet/capsule (Jul 2016)]]/Table6[[#This Row],[Redbook package strength (mg) (Jul 2016)]], "")</f>
        <v/>
      </c>
      <c r="M13" s="74"/>
      <c r="N13" s="57"/>
      <c r="O13" s="57"/>
      <c r="P13" s="57"/>
      <c r="Q13" s="57"/>
      <c r="R13" s="57" t="str">
        <f>IFERROR(Table6[[#This Row],[Redbook WAC price per tablet/capsule (Jan 2017)]]/Table6[[#This Row],[Redbook package strength (mg) (Jan 2017)]], "")</f>
        <v/>
      </c>
      <c r="S13" s="74"/>
      <c r="T13" s="57"/>
      <c r="U13" s="57"/>
      <c r="V13" s="57"/>
      <c r="W13" s="284"/>
      <c r="X13" s="284" t="str">
        <f>IFERROR(Table6[[#This Row],[Redbook WAC price per tablet/capsule (Jul 2017)]]/Table6[[#This Row],[Redbook package strength (mg) (Jul 2017)]], "")</f>
        <v/>
      </c>
      <c r="Y13" s="57"/>
      <c r="Z13" s="388"/>
      <c r="AA13" s="389"/>
      <c r="AB13" s="158"/>
      <c r="AC13" s="390"/>
      <c r="AD13" s="390"/>
      <c r="AE13" s="391"/>
      <c r="AF13" s="388"/>
      <c r="AG13" s="389"/>
      <c r="AH13" s="397"/>
      <c r="AI13" s="399"/>
      <c r="AJ13" s="399"/>
      <c r="AK13" s="391"/>
      <c r="AL13" s="57" t="s">
        <v>1795</v>
      </c>
      <c r="AM13" s="57" t="s">
        <v>1480</v>
      </c>
      <c r="AN13" s="57">
        <v>1</v>
      </c>
      <c r="AO13" s="58">
        <v>486</v>
      </c>
      <c r="AP13" s="58">
        <f>IFERROR(Table6[[#This Row],[Redbook WAC price per tablet/capsule (Jan 2019)]]/Table6[[#This Row],[Redbook package strength (mg) (Jan 2019)]], "")</f>
        <v>486</v>
      </c>
      <c r="AQ13" s="74" t="s">
        <v>1741</v>
      </c>
      <c r="AR13" s="73" t="s">
        <v>1795</v>
      </c>
      <c r="AS13" s="57" t="s">
        <v>1480</v>
      </c>
      <c r="AT13" s="57">
        <v>1</v>
      </c>
      <c r="AU13" s="58">
        <v>486</v>
      </c>
      <c r="AV13" s="58">
        <f>IFERROR(Table6[[#This Row],[Redbook WAC price per tablet/capsule (Jul 2019)]]/Table6[[#This Row],[Redbook package strength (mg) (Jul 2019)]], "")</f>
        <v>486</v>
      </c>
      <c r="AW13" s="74" t="s">
        <v>1741</v>
      </c>
      <c r="AX13" s="73" t="s">
        <v>1795</v>
      </c>
      <c r="AY13" s="57" t="s">
        <v>1480</v>
      </c>
      <c r="AZ13" s="57">
        <v>1</v>
      </c>
      <c r="BA13" s="59">
        <v>510.3</v>
      </c>
      <c r="BB13" s="59">
        <f>IFERROR(Table6[[#This Row],[Redbook WAC price per tablet/capsule (Jan 2020)]]/Table6[[#This Row],[Redbook package strength (mg) (Jan 2020)]], "")</f>
        <v>510.3</v>
      </c>
      <c r="BC13" t="s">
        <v>1741</v>
      </c>
      <c r="BD13" s="73" t="s">
        <v>1795</v>
      </c>
      <c r="BE13" s="57" t="s">
        <v>1480</v>
      </c>
      <c r="BF13" s="57">
        <v>1</v>
      </c>
      <c r="BG13" s="58">
        <v>510.3</v>
      </c>
      <c r="BH13" s="58">
        <f>IFERROR(Table6[[#This Row],[Redbook WAC price per tablet/capsule (Jul 2020)]]/Table6[[#This Row],[Redbook package strength (mg) (Jul 2020)]], "")</f>
        <v>510.3</v>
      </c>
      <c r="BI13" s="74" t="s">
        <v>1741</v>
      </c>
      <c r="BJ13" s="57" t="s">
        <v>1795</v>
      </c>
      <c r="BK13" s="57" t="s">
        <v>1480</v>
      </c>
      <c r="BL13" s="57">
        <v>1</v>
      </c>
      <c r="BM13" s="58">
        <v>512.85167000000001</v>
      </c>
      <c r="BN13" s="58">
        <f>IFERROR(Table6[[#This Row],[Redbook WAC price per tablet/capsule (Jan 2021)]]/Table6[[#This Row],[Redbook package strength (mg) (Jan 2021)]], "")</f>
        <v>512.85167000000001</v>
      </c>
      <c r="BO13" s="57" t="s">
        <v>1741</v>
      </c>
      <c r="BP13" s="73" t="s">
        <v>1795</v>
      </c>
      <c r="BQ13" s="57" t="s">
        <v>1480</v>
      </c>
      <c r="BR13" s="57">
        <v>1</v>
      </c>
      <c r="BS13" s="58">
        <v>512.85167000000001</v>
      </c>
      <c r="BT13" s="58">
        <f>IFERROR(Table6[[#This Row],[Redbook WAC price per tablet/capsule (Jul 2021)]]/Table6[[#This Row],[Redbook package strength (mg) (Jul 2021)]], "")</f>
        <v>512.85167000000001</v>
      </c>
      <c r="BU13" s="57" t="s">
        <v>1741</v>
      </c>
      <c r="BV13" s="186" t="s">
        <v>1795</v>
      </c>
      <c r="BW13" s="158" t="s">
        <v>1480</v>
      </c>
      <c r="BX13" s="57">
        <v>1</v>
      </c>
      <c r="BY13" s="58">
        <v>541.05999999999995</v>
      </c>
      <c r="BZ13" s="58">
        <f>IFERROR(Table6[[#This Row],[Redbook WAC price per tablet/capsule (Jan 2022)]]/Table6[[#This Row],[Redbook package strength (mg) (Jan 2022)]], "")</f>
        <v>541.05999999999995</v>
      </c>
      <c r="CA13" s="74" t="s">
        <v>1741</v>
      </c>
      <c r="CB13" s="57" t="s">
        <v>1795</v>
      </c>
      <c r="CC13" s="57" t="s">
        <v>1480</v>
      </c>
      <c r="CD13" s="57">
        <v>1</v>
      </c>
      <c r="CE13" s="58">
        <v>541.05867000000001</v>
      </c>
      <c r="CF13" s="58">
        <f>IFERROR(Table6[[#This Row],[Redbook WAC price per tablet/capsule (Jul 2022)]]/Table6[[#This Row],[Redbook package strength (mg) (Jul 2022)]], "")</f>
        <v>541.05867000000001</v>
      </c>
      <c r="CG13" s="74" t="s">
        <v>1741</v>
      </c>
      <c r="CH13" s="57" t="s">
        <v>1795</v>
      </c>
      <c r="CI13" s="57" t="s">
        <v>1480</v>
      </c>
      <c r="CJ13" s="57">
        <v>1</v>
      </c>
      <c r="CK13" s="58">
        <v>583.80232999999998</v>
      </c>
      <c r="CL13" s="58">
        <f>IFERROR(Table6[[#This Row],[Redbook WAC price per tablet/capsule (Jan 2023)]]/Table6[[#This Row],[Redbook package strength (mg) (Jan 2023)]], "")</f>
        <v>583.80232999999998</v>
      </c>
      <c r="CM13" s="57" t="s">
        <v>1741</v>
      </c>
    </row>
    <row r="14" spans="1:92" x14ac:dyDescent="0.3">
      <c r="A14" s="90" t="s">
        <v>31</v>
      </c>
      <c r="B14" s="342" t="s">
        <v>2661</v>
      </c>
      <c r="C14" s="57" t="s">
        <v>1482</v>
      </c>
      <c r="D14" s="57">
        <v>250</v>
      </c>
      <c r="E14" s="57">
        <v>37.091774999999998</v>
      </c>
      <c r="F14" s="57">
        <f>IFERROR(Table6[[#This Row],[Redbook WAC price per tablet/capsule (Jan 2016)]]/Table6[[#This Row],[Redbook package strength (mg) (Jan 2016)]], "")</f>
        <v>0.1483671</v>
      </c>
      <c r="G14" s="74" t="s">
        <v>1741</v>
      </c>
      <c r="H14" s="342" t="s">
        <v>2661</v>
      </c>
      <c r="I14" s="57" t="s">
        <v>1482</v>
      </c>
      <c r="J14" s="57">
        <v>250</v>
      </c>
      <c r="K14" s="367">
        <v>42.387058333299997</v>
      </c>
      <c r="L14" s="57">
        <f>IFERROR(Table6[[#This Row],[Redbook WAC price per tablet/capsule (Jul 2016)]]/Table6[[#This Row],[Redbook package strength (mg) (Jul 2016)]], "")</f>
        <v>0.16954823333319999</v>
      </c>
      <c r="M14" s="74" t="s">
        <v>1741</v>
      </c>
      <c r="N14" s="57" t="s">
        <v>1763</v>
      </c>
      <c r="O14" s="57" t="s">
        <v>1482</v>
      </c>
      <c r="P14" s="57">
        <v>250</v>
      </c>
      <c r="Q14" s="57">
        <v>42.387058333299997</v>
      </c>
      <c r="R14" s="57">
        <f>IFERROR(Table6[[#This Row],[Redbook WAC price per tablet/capsule (Jan 2017)]]/Table6[[#This Row],[Redbook package strength (mg) (Jan 2017)]], "")</f>
        <v>0.16954823333319999</v>
      </c>
      <c r="S14" s="74" t="s">
        <v>1741</v>
      </c>
      <c r="T14" s="57" t="s">
        <v>1763</v>
      </c>
      <c r="U14" s="57" t="s">
        <v>1482</v>
      </c>
      <c r="V14" s="57">
        <v>250</v>
      </c>
      <c r="W14" s="284">
        <v>45.311774999999997</v>
      </c>
      <c r="X14" s="284">
        <f>IFERROR(Table6[[#This Row],[Redbook WAC price per tablet/capsule (Jul 2017)]]/Table6[[#This Row],[Redbook package strength (mg) (Jul 2017)]], "")</f>
        <v>0.18124709999999999</v>
      </c>
      <c r="Y14" s="57" t="s">
        <v>1741</v>
      </c>
      <c r="Z14" s="388" t="s">
        <v>1763</v>
      </c>
      <c r="AA14" s="389" t="s">
        <v>1482</v>
      </c>
      <c r="AB14" s="158">
        <v>250</v>
      </c>
      <c r="AC14" s="390">
        <v>45.311775000000004</v>
      </c>
      <c r="AD14" s="390">
        <f>Table6[[#This Row],[Redbook WAC price per tablet/capsule (Jan 2018)]]/Table6[[#This Row],[Redbook package strength (mg) (Jan 2018)]]</f>
        <v>0.18124710000000002</v>
      </c>
      <c r="AE14" s="391" t="s">
        <v>1741</v>
      </c>
      <c r="AF14" s="388" t="s">
        <v>1763</v>
      </c>
      <c r="AG14" s="389" t="s">
        <v>1482</v>
      </c>
      <c r="AH14" s="397">
        <v>250</v>
      </c>
      <c r="AI14" s="399">
        <v>49.797666666666665</v>
      </c>
      <c r="AJ14" s="399">
        <f>Table6[[#This Row],[Redbook WAC price per tablet/capsule (Jul 2018)]]/Table6[[#This Row],[Redbook package strength (mg) (Jul 2018)]]</f>
        <v>0.19919066666666665</v>
      </c>
      <c r="AK14" s="391" t="s">
        <v>1741</v>
      </c>
      <c r="AL14" s="57" t="s">
        <v>1763</v>
      </c>
      <c r="AM14" s="57" t="s">
        <v>1482</v>
      </c>
      <c r="AN14" s="57">
        <v>250</v>
      </c>
      <c r="AO14" s="58">
        <v>49.797699999999999</v>
      </c>
      <c r="AP14" s="58">
        <f>IFERROR(Table6[[#This Row],[Redbook WAC price per tablet/capsule (Jan 2019)]]/Table6[[#This Row],[Redbook package strength (mg) (Jan 2019)]], "")</f>
        <v>0.1991908</v>
      </c>
      <c r="AQ14" s="74" t="s">
        <v>1741</v>
      </c>
      <c r="AR14" s="73" t="s">
        <v>1763</v>
      </c>
      <c r="AS14" s="57" t="s">
        <v>1482</v>
      </c>
      <c r="AT14" s="57">
        <v>250</v>
      </c>
      <c r="AU14" s="58">
        <v>52.785499999999999</v>
      </c>
      <c r="AV14" s="58">
        <f>IFERROR(Table6[[#This Row],[Redbook WAC price per tablet/capsule (Jul 2019)]]/Table6[[#This Row],[Redbook package strength (mg) (Jul 2019)]], "")</f>
        <v>0.211142</v>
      </c>
      <c r="AW14" s="74" t="s">
        <v>1741</v>
      </c>
      <c r="AX14" s="73" t="s">
        <v>1763</v>
      </c>
      <c r="AY14" s="57" t="s">
        <v>1482</v>
      </c>
      <c r="AZ14" s="57">
        <v>250</v>
      </c>
      <c r="BA14" s="59">
        <v>52.785499999999999</v>
      </c>
      <c r="BB14" s="59">
        <f>IFERROR(Table6[[#This Row],[Redbook WAC price per tablet/capsule (Jan 2020)]]/Table6[[#This Row],[Redbook package strength (mg) (Jan 2020)]], "")</f>
        <v>0.211142</v>
      </c>
      <c r="BC14" t="s">
        <v>1741</v>
      </c>
      <c r="BD14" s="73" t="s">
        <v>1763</v>
      </c>
      <c r="BE14" s="57" t="s">
        <v>1482</v>
      </c>
      <c r="BF14" s="57">
        <v>250</v>
      </c>
      <c r="BG14" s="58">
        <v>55.68873</v>
      </c>
      <c r="BH14" s="58">
        <f>IFERROR(Table6[[#This Row],[Redbook WAC price per tablet/capsule (Jul 2020)]]/Table6[[#This Row],[Redbook package strength (mg) (Jul 2020)]], "")</f>
        <v>0.22275492</v>
      </c>
      <c r="BI14" s="74" t="s">
        <v>1741</v>
      </c>
      <c r="BJ14" t="s">
        <v>2054</v>
      </c>
      <c r="BK14" s="57" t="s">
        <v>2053</v>
      </c>
      <c r="BL14" s="57">
        <v>250</v>
      </c>
      <c r="BM14" s="58">
        <v>48.114530000000002</v>
      </c>
      <c r="BN14" s="58">
        <f>IFERROR(Table6[[#This Row],[Redbook WAC price per tablet/capsule (Jan 2021)]]/Table6[[#This Row],[Redbook package strength (mg) (Jan 2021)]], "")</f>
        <v>0.19245812000000001</v>
      </c>
      <c r="BO14" s="57" t="s">
        <v>1741</v>
      </c>
      <c r="BP14" s="73" t="s">
        <v>2054</v>
      </c>
      <c r="BQ14" s="57" t="s">
        <v>2053</v>
      </c>
      <c r="BR14" s="57">
        <v>250</v>
      </c>
      <c r="BS14" s="58">
        <v>48.114530000000002</v>
      </c>
      <c r="BT14" s="58">
        <f>IFERROR(Table6[[#This Row],[Redbook WAC price per tablet/capsule (Jul 2021)]]/Table6[[#This Row],[Redbook package strength (mg) (Jul 2021)]], "")</f>
        <v>0.19245812000000001</v>
      </c>
      <c r="BU14" s="57" t="s">
        <v>1741</v>
      </c>
      <c r="BV14" s="186" t="s">
        <v>2054</v>
      </c>
      <c r="BW14" s="158" t="s">
        <v>2053</v>
      </c>
      <c r="BX14" s="57">
        <v>250</v>
      </c>
      <c r="BY14" s="58">
        <v>48.11</v>
      </c>
      <c r="BZ14" s="58">
        <f>IFERROR(Table6[[#This Row],[Redbook WAC price per tablet/capsule (Jan 2022)]]/Table6[[#This Row],[Redbook package strength (mg) (Jan 2022)]], "")</f>
        <v>0.19244</v>
      </c>
      <c r="CA14" s="74" t="s">
        <v>1741</v>
      </c>
      <c r="CB14" s="57" t="s">
        <v>2054</v>
      </c>
      <c r="CC14" s="57" t="s">
        <v>2053</v>
      </c>
      <c r="CD14" s="57">
        <v>250</v>
      </c>
      <c r="CE14" s="58">
        <v>48.114530000000002</v>
      </c>
      <c r="CF14" s="58">
        <f>IFERROR(Table6[[#This Row],[Redbook WAC price per tablet/capsule (Jul 2022)]]/Table6[[#This Row],[Redbook package strength (mg) (Jul 2022)]], "")</f>
        <v>0.19245812000000001</v>
      </c>
      <c r="CG14" s="74" t="s">
        <v>1741</v>
      </c>
      <c r="CH14" s="57" t="s">
        <v>2054</v>
      </c>
      <c r="CI14" s="57" t="s">
        <v>2053</v>
      </c>
      <c r="CJ14" s="57">
        <v>250</v>
      </c>
      <c r="CK14" s="58">
        <v>48.114530000000002</v>
      </c>
      <c r="CL14" s="58">
        <f>IFERROR(Table6[[#This Row],[Redbook WAC price per tablet/capsule (Jan 2023)]]/Table6[[#This Row],[Redbook package strength (mg) (Jan 2023)]], "")</f>
        <v>0.19245812000000001</v>
      </c>
      <c r="CM14" s="57" t="s">
        <v>1741</v>
      </c>
    </row>
    <row r="15" spans="1:92" x14ac:dyDescent="0.3">
      <c r="A15" s="83" t="s">
        <v>32</v>
      </c>
      <c r="B15" s="57" t="s">
        <v>1796</v>
      </c>
      <c r="C15" s="57" t="s">
        <v>2679</v>
      </c>
      <c r="D15" s="57">
        <v>40</v>
      </c>
      <c r="E15" s="57">
        <v>233.04666666700001</v>
      </c>
      <c r="F15" s="57">
        <f>IFERROR(Table6[[#This Row],[Redbook WAC price per tablet/capsule (Jan 2016)]]/Table6[[#This Row],[Redbook package strength (mg) (Jan 2016)]], "")</f>
        <v>5.8261666666750003</v>
      </c>
      <c r="G15" s="74" t="s">
        <v>1741</v>
      </c>
      <c r="H15" s="57" t="s">
        <v>1796</v>
      </c>
      <c r="I15" s="57" t="s">
        <v>1483</v>
      </c>
      <c r="J15" s="57">
        <v>40</v>
      </c>
      <c r="K15" s="57">
        <v>233.04666666700001</v>
      </c>
      <c r="L15" s="57">
        <f>IFERROR(Table6[[#This Row],[Redbook WAC price per tablet/capsule (Jul 2016)]]/Table6[[#This Row],[Redbook package strength (mg) (Jul 2016)]], "")</f>
        <v>5.8261666666750003</v>
      </c>
      <c r="M15" s="74" t="s">
        <v>1741</v>
      </c>
      <c r="N15" s="57" t="s">
        <v>1796</v>
      </c>
      <c r="O15" s="57" t="s">
        <v>1483</v>
      </c>
      <c r="P15" s="57">
        <v>40</v>
      </c>
      <c r="Q15" s="57">
        <v>251.69027500000001</v>
      </c>
      <c r="R15" s="57">
        <f>IFERROR(Table6[[#This Row],[Redbook WAC price per tablet/capsule (Jan 2017)]]/Table6[[#This Row],[Redbook package strength (mg) (Jan 2017)]], "")</f>
        <v>6.2922568750000005</v>
      </c>
      <c r="S15" s="74" t="s">
        <v>1741</v>
      </c>
      <c r="T15" s="57" t="s">
        <v>1796</v>
      </c>
      <c r="U15" s="57" t="s">
        <v>1483</v>
      </c>
      <c r="V15" s="57">
        <v>40</v>
      </c>
      <c r="W15" s="284">
        <v>251.69027500000001</v>
      </c>
      <c r="X15" s="284">
        <f>IFERROR(Table6[[#This Row],[Redbook WAC price per tablet/capsule (Jul 2017)]]/Table6[[#This Row],[Redbook package strength (mg) (Jul 2017)]], "")</f>
        <v>6.2922568750000005</v>
      </c>
      <c r="Y15" s="57" t="s">
        <v>1741</v>
      </c>
      <c r="Z15" s="388" t="s">
        <v>1796</v>
      </c>
      <c r="AA15" s="389" t="s">
        <v>1483</v>
      </c>
      <c r="AB15" s="158">
        <v>40</v>
      </c>
      <c r="AC15" s="390">
        <v>271.82555833333333</v>
      </c>
      <c r="AD15" s="390">
        <f>Table6[[#This Row],[Redbook WAC price per tablet/capsule (Jan 2018)]]/Table6[[#This Row],[Redbook package strength (mg) (Jan 2018)]]</f>
        <v>6.795638958333333</v>
      </c>
      <c r="AE15" s="391" t="s">
        <v>1741</v>
      </c>
      <c r="AF15" s="388" t="s">
        <v>1796</v>
      </c>
      <c r="AG15" s="389" t="s">
        <v>1483</v>
      </c>
      <c r="AH15" s="397">
        <v>40</v>
      </c>
      <c r="AI15" s="399">
        <v>271.82555833333333</v>
      </c>
      <c r="AJ15" s="399">
        <f>Table6[[#This Row],[Redbook WAC price per tablet/capsule (Jul 2018)]]/Table6[[#This Row],[Redbook package strength (mg) (Jul 2018)]]</f>
        <v>6.795638958333333</v>
      </c>
      <c r="AK15" s="391" t="s">
        <v>1741</v>
      </c>
      <c r="AL15" s="57" t="s">
        <v>1796</v>
      </c>
      <c r="AM15" s="57" t="s">
        <v>1483</v>
      </c>
      <c r="AN15" s="57">
        <v>40</v>
      </c>
      <c r="AO15" s="58">
        <v>293.57170000000002</v>
      </c>
      <c r="AP15" s="58">
        <f>IFERROR(Table6[[#This Row],[Redbook WAC price per tablet/capsule (Jan 2019)]]/Table6[[#This Row],[Redbook package strength (mg) (Jan 2019)]], "")</f>
        <v>7.3392925000000009</v>
      </c>
      <c r="AQ15" s="74" t="s">
        <v>1741</v>
      </c>
      <c r="AR15" s="73" t="s">
        <v>1796</v>
      </c>
      <c r="AS15" s="57" t="s">
        <v>1483</v>
      </c>
      <c r="AT15" s="57">
        <v>40</v>
      </c>
      <c r="AU15" s="58">
        <v>293.57170000000002</v>
      </c>
      <c r="AV15" s="58">
        <f>IFERROR(Table6[[#This Row],[Redbook WAC price per tablet/capsule (Jul 2019)]]/Table6[[#This Row],[Redbook package strength (mg) (Jul 2019)]], "")</f>
        <v>7.3392925000000009</v>
      </c>
      <c r="AW15" s="74" t="s">
        <v>1741</v>
      </c>
      <c r="AX15" s="73" t="s">
        <v>1796</v>
      </c>
      <c r="AY15" s="57" t="s">
        <v>1483</v>
      </c>
      <c r="AZ15" s="57">
        <v>40</v>
      </c>
      <c r="BA15" s="59">
        <v>317.0573</v>
      </c>
      <c r="BB15" s="59">
        <f>IFERROR(Table6[[#This Row],[Redbook WAC price per tablet/capsule (Jan 2020)]]/Table6[[#This Row],[Redbook package strength (mg) (Jan 2020)]], "")</f>
        <v>7.9264324999999998</v>
      </c>
      <c r="BC15" t="s">
        <v>1741</v>
      </c>
      <c r="BD15" s="73" t="s">
        <v>1796</v>
      </c>
      <c r="BE15" s="57" t="s">
        <v>1483</v>
      </c>
      <c r="BF15" s="57">
        <v>40</v>
      </c>
      <c r="BG15" s="58">
        <v>317.0573</v>
      </c>
      <c r="BH15" s="58">
        <f>IFERROR(Table6[[#This Row],[Redbook WAC price per tablet/capsule (Jul 2020)]]/Table6[[#This Row],[Redbook package strength (mg) (Jul 2020)]], "")</f>
        <v>7.9264324999999998</v>
      </c>
      <c r="BI15" s="74" t="s">
        <v>1741</v>
      </c>
      <c r="BJ15" t="s">
        <v>1796</v>
      </c>
      <c r="BK15" s="57" t="s">
        <v>1483</v>
      </c>
      <c r="BL15" s="57">
        <v>40</v>
      </c>
      <c r="BM15" s="58">
        <v>336.08055999999999</v>
      </c>
      <c r="BN15" s="58">
        <f>IFERROR(Table6[[#This Row],[Redbook WAC price per tablet/capsule (Jan 2021)]]/Table6[[#This Row],[Redbook package strength (mg) (Jan 2021)]], "")</f>
        <v>8.4020139999999994</v>
      </c>
      <c r="BO15" s="57" t="s">
        <v>1741</v>
      </c>
      <c r="BP15" s="73" t="s">
        <v>1796</v>
      </c>
      <c r="BQ15" s="57" t="s">
        <v>1483</v>
      </c>
      <c r="BR15" s="57">
        <v>40</v>
      </c>
      <c r="BS15" s="58">
        <v>336.08055999999999</v>
      </c>
      <c r="BT15" s="58">
        <f>IFERROR(Table6[[#This Row],[Redbook WAC price per tablet/capsule (Jul 2021)]]/Table6[[#This Row],[Redbook package strength (mg) (Jul 2021)]], "")</f>
        <v>8.4020139999999994</v>
      </c>
      <c r="BU15" s="57" t="s">
        <v>1741</v>
      </c>
      <c r="BV15" s="186" t="s">
        <v>1796</v>
      </c>
      <c r="BW15" s="158" t="s">
        <v>1483</v>
      </c>
      <c r="BX15" s="57">
        <v>40</v>
      </c>
      <c r="BY15" s="58">
        <v>336.08</v>
      </c>
      <c r="BZ15" s="58">
        <f>IFERROR(Table6[[#This Row],[Redbook WAC price per tablet/capsule (Jan 2022)]]/Table6[[#This Row],[Redbook package strength (mg) (Jan 2022)]], "")</f>
        <v>8.4019999999999992</v>
      </c>
      <c r="CA15" s="74" t="s">
        <v>1741</v>
      </c>
      <c r="CB15" s="57" t="s">
        <v>1796</v>
      </c>
      <c r="CC15" s="158" t="s">
        <v>1483</v>
      </c>
      <c r="CD15" s="57">
        <v>40</v>
      </c>
      <c r="CE15" s="58">
        <v>349.524</v>
      </c>
      <c r="CF15" s="247">
        <f>IFERROR(Table6[[#This Row],[Redbook WAC price per tablet/capsule (Jul 2022)]]/Table6[[#This Row],[Redbook package strength (mg) (Jul 2022)]], "")</f>
        <v>8.7380999999999993</v>
      </c>
      <c r="CG15" s="74" t="s">
        <v>1741</v>
      </c>
      <c r="CH15" s="57" t="s">
        <v>1796</v>
      </c>
      <c r="CI15" s="57" t="s">
        <v>1483</v>
      </c>
      <c r="CJ15" s="57">
        <v>40</v>
      </c>
      <c r="CK15" s="58">
        <v>370.49533000000002</v>
      </c>
      <c r="CL15" s="58">
        <f>IFERROR(Table6[[#This Row],[Redbook WAC price per tablet/capsule (Jan 2023)]]/Table6[[#This Row],[Redbook package strength (mg) (Jan 2023)]], "")</f>
        <v>9.262383250000001</v>
      </c>
      <c r="CM15" s="57" t="s">
        <v>1741</v>
      </c>
    </row>
    <row r="16" spans="1:92" x14ac:dyDescent="0.3">
      <c r="A16" s="85" t="s">
        <v>33</v>
      </c>
      <c r="B16" s="57"/>
      <c r="C16" s="57"/>
      <c r="D16" s="57"/>
      <c r="E16" s="57"/>
      <c r="F16" s="57" t="str">
        <f>IFERROR(Table6[[#This Row],[Redbook WAC price per tablet/capsule (Jan 2016)]]/Table6[[#This Row],[Redbook package strength (mg) (Jan 2016)]], "")</f>
        <v/>
      </c>
      <c r="G16" s="74"/>
      <c r="H16" s="57"/>
      <c r="I16" s="57"/>
      <c r="J16" s="57"/>
      <c r="K16" s="57"/>
      <c r="L16" s="57" t="str">
        <f>IFERROR(Table6[[#This Row],[Redbook WAC price per tablet/capsule (Jul 2016)]]/Table6[[#This Row],[Redbook package strength (mg) (Jul 2016)]], "")</f>
        <v/>
      </c>
      <c r="M16" s="74"/>
      <c r="N16" s="57"/>
      <c r="O16" s="57"/>
      <c r="P16" s="57"/>
      <c r="Q16" s="57"/>
      <c r="R16" s="57" t="str">
        <f>IFERROR(Table6[[#This Row],[Redbook WAC price per tablet/capsule (Jan 2017)]]/Table6[[#This Row],[Redbook package strength (mg) (Jan 2017)]], "")</f>
        <v/>
      </c>
      <c r="S16" s="74"/>
      <c r="T16" s="57"/>
      <c r="U16" s="57"/>
      <c r="V16" s="57"/>
      <c r="W16" s="284"/>
      <c r="X16" s="284" t="str">
        <f>IFERROR(Table6[[#This Row],[Redbook WAC price per tablet/capsule (Jul 2017)]]/Table6[[#This Row],[Redbook package strength (mg) (Jul 2017)]], "")</f>
        <v/>
      </c>
      <c r="Y16" s="57"/>
      <c r="Z16" s="388"/>
      <c r="AA16" s="389"/>
      <c r="AB16" s="158"/>
      <c r="AC16" s="390"/>
      <c r="AD16" s="390"/>
      <c r="AE16" s="391"/>
      <c r="AF16" s="388"/>
      <c r="AG16" s="389"/>
      <c r="AH16" s="397"/>
      <c r="AI16" s="399"/>
      <c r="AJ16" s="399"/>
      <c r="AK16" s="391"/>
      <c r="AL16" s="57" t="s">
        <v>1797</v>
      </c>
      <c r="AM16" s="57" t="s">
        <v>1496</v>
      </c>
      <c r="AN16" s="57">
        <v>45</v>
      </c>
      <c r="AO16" s="58">
        <v>413.33330000000001</v>
      </c>
      <c r="AP16" s="58">
        <f>IFERROR(Table6[[#This Row],[Redbook WAC price per tablet/capsule (Jan 2019)]]/Table6[[#This Row],[Redbook package strength (mg) (Jan 2019)]], "")</f>
        <v>9.1851844444444453</v>
      </c>
      <c r="AQ16" s="74" t="s">
        <v>1741</v>
      </c>
      <c r="AR16" s="73" t="s">
        <v>1797</v>
      </c>
      <c r="AS16" s="57" t="s">
        <v>1496</v>
      </c>
      <c r="AT16" s="57">
        <v>45</v>
      </c>
      <c r="AU16" s="58">
        <v>413.33330000000001</v>
      </c>
      <c r="AV16" s="58">
        <f>IFERROR(Table6[[#This Row],[Redbook WAC price per tablet/capsule (Jul 2019)]]/Table6[[#This Row],[Redbook package strength (mg) (Jul 2019)]], "")</f>
        <v>9.1851844444444453</v>
      </c>
      <c r="AW16" s="74" t="s">
        <v>1741</v>
      </c>
      <c r="AX16" s="73" t="s">
        <v>1797</v>
      </c>
      <c r="AY16" s="57" t="s">
        <v>1496</v>
      </c>
      <c r="AZ16" s="57">
        <v>45</v>
      </c>
      <c r="BA16" s="59">
        <v>434</v>
      </c>
      <c r="BB16" s="59">
        <f>IFERROR(Table6[[#This Row],[Redbook WAC price per tablet/capsule (Jan 2020)]]/Table6[[#This Row],[Redbook package strength (mg) (Jan 2020)]], "")</f>
        <v>9.6444444444444439</v>
      </c>
      <c r="BC16" t="s">
        <v>1741</v>
      </c>
      <c r="BD16" s="73" t="s">
        <v>1797</v>
      </c>
      <c r="BE16" s="57" t="s">
        <v>1496</v>
      </c>
      <c r="BF16" s="57">
        <v>45</v>
      </c>
      <c r="BG16" s="58">
        <v>434</v>
      </c>
      <c r="BH16" s="58">
        <f>IFERROR(Table6[[#This Row],[Redbook WAC price per tablet/capsule (Jul 2020)]]/Table6[[#This Row],[Redbook package strength (mg) (Jul 2020)]], "")</f>
        <v>9.6444444444444439</v>
      </c>
      <c r="BI16" s="74" t="s">
        <v>1741</v>
      </c>
      <c r="BJ16" s="57" t="s">
        <v>1797</v>
      </c>
      <c r="BK16" s="57" t="s">
        <v>1496</v>
      </c>
      <c r="BL16" s="57">
        <v>45</v>
      </c>
      <c r="BM16" s="58">
        <v>455.7</v>
      </c>
      <c r="BN16" s="58">
        <f>IFERROR(Table6[[#This Row],[Redbook WAC price per tablet/capsule (Jan 2021)]]/Table6[[#This Row],[Redbook package strength (mg) (Jan 2021)]], "")</f>
        <v>10.126666666666667</v>
      </c>
      <c r="BO16" s="57" t="s">
        <v>1741</v>
      </c>
      <c r="BP16" s="73" t="s">
        <v>1797</v>
      </c>
      <c r="BQ16" s="57" t="s">
        <v>1496</v>
      </c>
      <c r="BR16" s="57">
        <v>45</v>
      </c>
      <c r="BS16" s="58">
        <v>455.7</v>
      </c>
      <c r="BT16" s="58">
        <f>IFERROR(Table6[[#This Row],[Redbook WAC price per tablet/capsule (Jul 2021)]]/Table6[[#This Row],[Redbook package strength (mg) (Jul 2021)]], "")</f>
        <v>10.126666666666667</v>
      </c>
      <c r="BU16" s="57" t="s">
        <v>1741</v>
      </c>
      <c r="BV16" s="186" t="s">
        <v>1797</v>
      </c>
      <c r="BW16" s="158" t="s">
        <v>1496</v>
      </c>
      <c r="BX16" s="57">
        <v>45</v>
      </c>
      <c r="BY16" s="58">
        <v>480.76</v>
      </c>
      <c r="BZ16" s="58">
        <f>IFERROR(Table6[[#This Row],[Redbook WAC price per tablet/capsule (Jan 2022)]]/Table6[[#This Row],[Redbook package strength (mg) (Jan 2022)]], "")</f>
        <v>10.683555555555555</v>
      </c>
      <c r="CA16" s="74" t="s">
        <v>1741</v>
      </c>
      <c r="CB16" s="57" t="s">
        <v>1797</v>
      </c>
      <c r="CC16" s="57" t="s">
        <v>1496</v>
      </c>
      <c r="CD16" s="57">
        <v>45</v>
      </c>
      <c r="CE16" s="58">
        <v>480.76366999999999</v>
      </c>
      <c r="CF16" s="58">
        <f>IFERROR(Table6[[#This Row],[Redbook WAC price per tablet/capsule (Jul 2022)]]/Table6[[#This Row],[Redbook package strength (mg) (Jul 2022)]], "")</f>
        <v>10.683637111111111</v>
      </c>
      <c r="CG16" s="74" t="s">
        <v>1741</v>
      </c>
      <c r="CH16" s="57" t="s">
        <v>1797</v>
      </c>
      <c r="CI16" s="57" t="s">
        <v>1496</v>
      </c>
      <c r="CJ16" s="57">
        <v>45</v>
      </c>
      <c r="CK16" s="58">
        <v>518.74400000000003</v>
      </c>
      <c r="CL16" s="58">
        <f>IFERROR(Table6[[#This Row],[Redbook WAC price per tablet/capsule (Jan 2023)]]/Table6[[#This Row],[Redbook package strength (mg) (Jan 2023)]], "")</f>
        <v>11.527644444444444</v>
      </c>
      <c r="CM16" s="57" t="s">
        <v>1741</v>
      </c>
    </row>
    <row r="17" spans="1:92" x14ac:dyDescent="0.3">
      <c r="A17" s="84" t="s">
        <v>34</v>
      </c>
      <c r="B17" s="158" t="s">
        <v>1839</v>
      </c>
      <c r="C17" s="158" t="s">
        <v>1838</v>
      </c>
      <c r="D17" s="158">
        <v>150</v>
      </c>
      <c r="E17" s="158">
        <v>241.523608333</v>
      </c>
      <c r="F17" s="158">
        <f>IFERROR(Table6[[#This Row],[Redbook WAC price per tablet/capsule (Jan 2016)]]/Table6[[#This Row],[Redbook package strength (mg) (Jan 2016)]], "")</f>
        <v>1.6101573888866667</v>
      </c>
      <c r="G17" s="191" t="s">
        <v>1741</v>
      </c>
      <c r="H17" s="158" t="s">
        <v>1839</v>
      </c>
      <c r="I17" s="158" t="s">
        <v>1838</v>
      </c>
      <c r="J17" s="158">
        <v>150</v>
      </c>
      <c r="K17" s="158">
        <v>241.523608333</v>
      </c>
      <c r="L17" s="57">
        <f>IFERROR(Table6[[#This Row],[Redbook WAC price per tablet/capsule (Jul 2016)]]/Table6[[#This Row],[Redbook package strength (mg) (Jul 2016)]], "")</f>
        <v>1.6101573888866667</v>
      </c>
      <c r="M17" s="191" t="s">
        <v>1741</v>
      </c>
      <c r="N17" s="158" t="s">
        <v>1839</v>
      </c>
      <c r="O17" s="158" t="s">
        <v>1838</v>
      </c>
      <c r="P17" s="158">
        <v>150</v>
      </c>
      <c r="Q17" s="158">
        <v>260.84555833299999</v>
      </c>
      <c r="R17" s="57">
        <f>IFERROR(Table6[[#This Row],[Redbook WAC price per tablet/capsule (Jan 2017)]]/Table6[[#This Row],[Redbook package strength (mg) (Jan 2017)]], "")</f>
        <v>1.7389703888866666</v>
      </c>
      <c r="S17" s="191" t="s">
        <v>1741</v>
      </c>
      <c r="T17" s="158" t="s">
        <v>1839</v>
      </c>
      <c r="U17" s="57" t="s">
        <v>1838</v>
      </c>
      <c r="V17" s="57">
        <v>150</v>
      </c>
      <c r="W17" s="284">
        <f>(313.01467/1.2)</f>
        <v>260.84555833333337</v>
      </c>
      <c r="X17" s="284">
        <f>IFERROR(Table6[[#This Row],[Redbook WAC price per tablet/capsule (Jul 2017)]]/Table6[[#This Row],[Redbook package strength (mg) (Jul 2017)]], "")</f>
        <v>1.7389703888888892</v>
      </c>
      <c r="Y17" s="57" t="s">
        <v>1741</v>
      </c>
      <c r="Z17" s="388" t="s">
        <v>1839</v>
      </c>
      <c r="AA17" s="389" t="s">
        <v>1838</v>
      </c>
      <c r="AB17" s="158">
        <v>150</v>
      </c>
      <c r="AC17" s="390">
        <v>281.71333333333331</v>
      </c>
      <c r="AD17" s="390">
        <f>Table6[[#This Row],[Redbook WAC price per tablet/capsule (Jan 2018)]]/Table6[[#This Row],[Redbook package strength (mg) (Jan 2018)]]</f>
        <v>1.8780888888888887</v>
      </c>
      <c r="AE17" s="391" t="s">
        <v>1741</v>
      </c>
      <c r="AF17" s="388" t="s">
        <v>1839</v>
      </c>
      <c r="AG17" s="389" t="s">
        <v>1838</v>
      </c>
      <c r="AH17" s="397">
        <v>150</v>
      </c>
      <c r="AI17" s="399">
        <v>281.71333333333331</v>
      </c>
      <c r="AJ17" s="399">
        <f>Table6[[#This Row],[Redbook WAC price per tablet/capsule (Jul 2018)]]/Table6[[#This Row],[Redbook package strength (mg) (Jul 2018)]]</f>
        <v>1.8780888888888887</v>
      </c>
      <c r="AK17" s="391" t="s">
        <v>1741</v>
      </c>
      <c r="AL17" s="57" t="s">
        <v>1839</v>
      </c>
      <c r="AM17" s="57" t="s">
        <v>1838</v>
      </c>
      <c r="AN17" s="57">
        <v>150</v>
      </c>
      <c r="AO17" s="58">
        <v>281.71332999999998</v>
      </c>
      <c r="AP17" s="58">
        <f>IFERROR(Table6[[#This Row],[Redbook WAC price per tablet/capsule (Jan 2019)]]/Table6[[#This Row],[Redbook package strength (mg) (Jan 2019)]], "")</f>
        <v>1.8780888666666666</v>
      </c>
      <c r="AQ17" s="74" t="s">
        <v>1741</v>
      </c>
      <c r="AR17" s="73" t="s">
        <v>1842</v>
      </c>
      <c r="AS17" s="57" t="s">
        <v>1840</v>
      </c>
      <c r="AT17" s="57">
        <v>150</v>
      </c>
      <c r="AU17" s="58">
        <v>256.92266999999998</v>
      </c>
      <c r="AV17" s="58">
        <f>IFERROR(Table6[[#This Row],[Redbook WAC price per tablet/capsule (Jul 2019)]]/Table6[[#This Row],[Redbook package strength (mg) (Jul 2019)]], "")</f>
        <v>1.7128177999999998</v>
      </c>
      <c r="AW17" s="74" t="s">
        <v>1741</v>
      </c>
      <c r="AX17" t="s">
        <v>1843</v>
      </c>
      <c r="AY17" t="s">
        <v>1840</v>
      </c>
      <c r="AZ17">
        <v>150</v>
      </c>
      <c r="BA17" s="59">
        <v>243.40029999999999</v>
      </c>
      <c r="BB17" s="59">
        <f>IFERROR(Table6[[#This Row],[Redbook WAC price per tablet/capsule (Jan 2020)]]/Table6[[#This Row],[Redbook package strength (mg) (Jan 2020)]], "")</f>
        <v>1.6226686666666665</v>
      </c>
      <c r="BC17" t="s">
        <v>1741</v>
      </c>
      <c r="BD17" s="73" t="s">
        <v>1843</v>
      </c>
      <c r="BE17" t="s">
        <v>1840</v>
      </c>
      <c r="BF17">
        <v>150</v>
      </c>
      <c r="BG17" s="58">
        <v>121.70032999999999</v>
      </c>
      <c r="BH17" s="58">
        <f>IFERROR(Table6[[#This Row],[Redbook WAC price per tablet/capsule (Jul 2020)]]/Table6[[#This Row],[Redbook package strength (mg) (Jul 2020)]], "")</f>
        <v>0.8113355333333333</v>
      </c>
      <c r="BI17" s="74" t="s">
        <v>1741</v>
      </c>
      <c r="BJ17" s="57" t="s">
        <v>2055</v>
      </c>
      <c r="BK17" s="57" t="s">
        <v>2056</v>
      </c>
      <c r="BL17" s="57">
        <v>150</v>
      </c>
      <c r="BM17" s="58">
        <v>15</v>
      </c>
      <c r="BN17" s="58">
        <f>IFERROR(Table6[[#This Row],[Redbook WAC price per tablet/capsule (Jan 2021)]]/Table6[[#This Row],[Redbook package strength (mg) (Jan 2021)]], "")</f>
        <v>0.1</v>
      </c>
      <c r="BO17" s="57" t="s">
        <v>1741</v>
      </c>
      <c r="BP17" s="73" t="s">
        <v>1843</v>
      </c>
      <c r="BQ17" s="57" t="s">
        <v>2056</v>
      </c>
      <c r="BR17" s="57">
        <v>25</v>
      </c>
      <c r="BS17" s="58">
        <v>7</v>
      </c>
      <c r="BT17" s="58">
        <f>IFERROR(Table6[[#This Row],[Redbook WAC price per tablet/capsule (Jul 2021)]]/Table6[[#This Row],[Redbook package strength (mg) (Jul 2021)]], "")</f>
        <v>0.28000000000000003</v>
      </c>
      <c r="BU17" s="57" t="s">
        <v>1741</v>
      </c>
      <c r="BV17" s="186" t="s">
        <v>2072</v>
      </c>
      <c r="BW17" s="158" t="s">
        <v>2056</v>
      </c>
      <c r="BX17" s="57">
        <v>150</v>
      </c>
      <c r="BY17" s="58">
        <v>10.5</v>
      </c>
      <c r="BZ17" s="58">
        <f>IFERROR(Table6[[#This Row],[Redbook WAC price per tablet/capsule (Jan 2022)]]/Table6[[#This Row],[Redbook package strength (mg) (Jan 2022)]], "")</f>
        <v>7.0000000000000007E-2</v>
      </c>
      <c r="CA17" s="74" t="s">
        <v>1741</v>
      </c>
      <c r="CB17" s="57" t="s">
        <v>2072</v>
      </c>
      <c r="CC17" s="57" t="s">
        <v>2056</v>
      </c>
      <c r="CD17" s="57">
        <v>150</v>
      </c>
      <c r="CE17" s="58">
        <v>10.5</v>
      </c>
      <c r="CF17" s="58">
        <f>IFERROR(Table6[[#This Row],[Redbook WAC price per tablet/capsule (Jul 2022)]]/Table6[[#This Row],[Redbook package strength (mg) (Jul 2022)]], "")</f>
        <v>7.0000000000000007E-2</v>
      </c>
      <c r="CG17" s="74" t="s">
        <v>1741</v>
      </c>
      <c r="CH17" s="158" t="s">
        <v>2391</v>
      </c>
      <c r="CI17" s="57" t="s">
        <v>2056</v>
      </c>
      <c r="CJ17" s="57">
        <v>150</v>
      </c>
      <c r="CK17" s="58">
        <v>10.5</v>
      </c>
      <c r="CL17" s="58">
        <f>IFERROR(Table6[[#This Row],[Redbook WAC price per tablet/capsule (Jan 2023)]]/Table6[[#This Row],[Redbook package strength (mg) (Jan 2023)]], "")</f>
        <v>7.0000000000000007E-2</v>
      </c>
      <c r="CM17" s="57" t="s">
        <v>1741</v>
      </c>
    </row>
    <row r="18" spans="1:92" x14ac:dyDescent="0.3">
      <c r="A18" s="85" t="s">
        <v>35</v>
      </c>
      <c r="B18" s="57" t="s">
        <v>1764</v>
      </c>
      <c r="C18" s="57" t="s">
        <v>1481</v>
      </c>
      <c r="D18" s="57">
        <v>250</v>
      </c>
      <c r="E18" s="57">
        <v>241.2</v>
      </c>
      <c r="F18" s="57">
        <f>IFERROR(Table6[[#This Row],[Redbook WAC price per tablet/capsule (Jan 2016)]]/Table6[[#This Row],[Redbook package strength (mg) (Jan 2016)]], "")</f>
        <v>0.96479999999999999</v>
      </c>
      <c r="G18" s="74" t="s">
        <v>1741</v>
      </c>
      <c r="H18" s="57" t="s">
        <v>1764</v>
      </c>
      <c r="I18" s="57" t="s">
        <v>1481</v>
      </c>
      <c r="J18" s="57">
        <v>250</v>
      </c>
      <c r="K18" s="57">
        <v>241.2</v>
      </c>
      <c r="L18" s="57">
        <f>IFERROR(Table6[[#This Row],[Redbook WAC price per tablet/capsule (Jul 2016)]]/Table6[[#This Row],[Redbook package strength (mg) (Jul 2016)]], "")</f>
        <v>0.96479999999999999</v>
      </c>
      <c r="M18" s="74" t="s">
        <v>1741</v>
      </c>
      <c r="N18" s="57" t="s">
        <v>1764</v>
      </c>
      <c r="O18" s="57" t="s">
        <v>1481</v>
      </c>
      <c r="P18" s="57">
        <v>250</v>
      </c>
      <c r="Q18" s="57">
        <v>253.26</v>
      </c>
      <c r="R18" s="57">
        <f>IFERROR(Table6[[#This Row],[Redbook WAC price per tablet/capsule (Jan 2017)]]/Table6[[#This Row],[Redbook package strength (mg) (Jan 2017)]], "")</f>
        <v>1.0130399999999999</v>
      </c>
      <c r="S18" s="74" t="s">
        <v>1741</v>
      </c>
      <c r="T18" s="57" t="s">
        <v>1764</v>
      </c>
      <c r="U18" s="57" t="s">
        <v>1481</v>
      </c>
      <c r="V18" s="57">
        <v>250</v>
      </c>
      <c r="W18" s="284">
        <f>(303.912/1.2)</f>
        <v>253.26</v>
      </c>
      <c r="X18" s="284">
        <f>IFERROR(Table6[[#This Row],[Redbook WAC price per tablet/capsule (Jul 2017)]]/Table6[[#This Row],[Redbook package strength (mg) (Jul 2017)]], "")</f>
        <v>1.0130399999999999</v>
      </c>
      <c r="Y18" s="57" t="s">
        <v>1741</v>
      </c>
      <c r="Z18" s="388" t="s">
        <v>1764</v>
      </c>
      <c r="AA18" s="389" t="s">
        <v>1481</v>
      </c>
      <c r="AB18" s="158">
        <v>250</v>
      </c>
      <c r="AC18" s="390">
        <v>253.26</v>
      </c>
      <c r="AD18" s="390">
        <f>Table6[[#This Row],[Redbook WAC price per tablet/capsule (Jan 2018)]]/Table6[[#This Row],[Redbook package strength (mg) (Jan 2018)]]</f>
        <v>1.0130399999999999</v>
      </c>
      <c r="AE18" s="391" t="s">
        <v>1741</v>
      </c>
      <c r="AF18" s="388" t="s">
        <v>1764</v>
      </c>
      <c r="AG18" s="389" t="s">
        <v>1481</v>
      </c>
      <c r="AH18" s="397">
        <v>250</v>
      </c>
      <c r="AI18" s="399">
        <v>257.05889166666668</v>
      </c>
      <c r="AJ18" s="399">
        <f>Table6[[#This Row],[Redbook WAC price per tablet/capsule (Jul 2018)]]/Table6[[#This Row],[Redbook package strength (mg) (Jul 2018)]]</f>
        <v>1.0282355666666667</v>
      </c>
      <c r="AK18" s="391" t="s">
        <v>1741</v>
      </c>
      <c r="AL18" s="57" t="s">
        <v>1764</v>
      </c>
      <c r="AM18" s="57" t="s">
        <v>1481</v>
      </c>
      <c r="AN18" s="57">
        <v>250</v>
      </c>
      <c r="AO18" s="58">
        <v>257.05900000000003</v>
      </c>
      <c r="AP18" s="58">
        <f>IFERROR(Table6[[#This Row],[Redbook WAC price per tablet/capsule (Jan 2019)]]/Table6[[#This Row],[Redbook package strength (mg) (Jan 2019)]], "")</f>
        <v>1.0282360000000001</v>
      </c>
      <c r="AQ18" s="74" t="s">
        <v>1741</v>
      </c>
      <c r="AR18" s="73" t="s">
        <v>1764</v>
      </c>
      <c r="AS18" s="57" t="s">
        <v>1481</v>
      </c>
      <c r="AT18" s="57">
        <v>250</v>
      </c>
      <c r="AU18" s="58">
        <v>259.62932999999998</v>
      </c>
      <c r="AV18" s="58">
        <f>IFERROR(Table6[[#This Row],[Redbook WAC price per tablet/capsule (Jul 2019)]]/Table6[[#This Row],[Redbook package strength (mg) (Jul 2019)]], "")</f>
        <v>1.03851732</v>
      </c>
      <c r="AW18" s="74" t="s">
        <v>1741</v>
      </c>
      <c r="AX18" s="73" t="s">
        <v>1764</v>
      </c>
      <c r="AY18" s="57" t="s">
        <v>1481</v>
      </c>
      <c r="AZ18" s="57">
        <v>250</v>
      </c>
      <c r="BA18" s="59">
        <v>259.62932999999998</v>
      </c>
      <c r="BB18" s="59">
        <f>IFERROR(Table6[[#This Row],[Redbook WAC price per tablet/capsule (Jan 2020)]]/Table6[[#This Row],[Redbook package strength (mg) (Jan 2020)]], "")</f>
        <v>1.03851732</v>
      </c>
      <c r="BC18" t="s">
        <v>1741</v>
      </c>
      <c r="BD18" s="73" t="s">
        <v>1764</v>
      </c>
      <c r="BE18" s="57" t="s">
        <v>1481</v>
      </c>
      <c r="BF18" s="57">
        <v>250</v>
      </c>
      <c r="BG18" s="58">
        <v>259.62932999999998</v>
      </c>
      <c r="BH18" s="58">
        <f>IFERROR(Table6[[#This Row],[Redbook WAC price per tablet/capsule (Jul 2020)]]/Table6[[#This Row],[Redbook package strength (mg) (Jul 2020)]], "")</f>
        <v>1.03851732</v>
      </c>
      <c r="BI18" s="74" t="s">
        <v>1741</v>
      </c>
      <c r="BJ18" s="57" t="s">
        <v>1764</v>
      </c>
      <c r="BK18" s="57" t="s">
        <v>1481</v>
      </c>
      <c r="BL18" s="57">
        <v>250</v>
      </c>
      <c r="BM18" s="58">
        <v>259.62932999999998</v>
      </c>
      <c r="BN18" s="58">
        <f>IFERROR(Table6[[#This Row],[Redbook WAC price per tablet/capsule (Jan 2021)]]/Table6[[#This Row],[Redbook package strength (mg) (Jan 2021)]], "")</f>
        <v>1.03851732</v>
      </c>
      <c r="BO18" s="57" t="s">
        <v>1741</v>
      </c>
      <c r="BP18" s="73" t="s">
        <v>1764</v>
      </c>
      <c r="BQ18" s="57" t="s">
        <v>1481</v>
      </c>
      <c r="BR18" s="57">
        <v>250</v>
      </c>
      <c r="BS18" s="58">
        <v>259.62932999999998</v>
      </c>
      <c r="BT18" s="58">
        <f>IFERROR(Table6[[#This Row],[Redbook WAC price per tablet/capsule (Jul 2021)]]/Table6[[#This Row],[Redbook package strength (mg) (Jul 2021)]], "")</f>
        <v>1.03851732</v>
      </c>
      <c r="BU18" s="57" t="s">
        <v>1741</v>
      </c>
      <c r="BV18" s="186" t="s">
        <v>1764</v>
      </c>
      <c r="BW18" s="158" t="s">
        <v>1481</v>
      </c>
      <c r="BX18" s="57">
        <v>250</v>
      </c>
      <c r="BY18" s="58">
        <v>259.63</v>
      </c>
      <c r="BZ18" s="58">
        <f>IFERROR(Table6[[#This Row],[Redbook WAC price per tablet/capsule (Jan 2022)]]/Table6[[#This Row],[Redbook package strength (mg) (Jan 2022)]], "")</f>
        <v>1.0385199999999999</v>
      </c>
      <c r="CA18" s="74" t="s">
        <v>1741</v>
      </c>
      <c r="CB18" s="57" t="s">
        <v>1764</v>
      </c>
      <c r="CC18" s="57" t="s">
        <v>1481</v>
      </c>
      <c r="CD18" s="57">
        <v>250</v>
      </c>
      <c r="CE18" s="58">
        <v>259.62932999999998</v>
      </c>
      <c r="CF18" s="58">
        <f>IFERROR(Table6[[#This Row],[Redbook WAC price per tablet/capsule (Jul 2022)]]/Table6[[#This Row],[Redbook package strength (mg) (Jul 2022)]], "")</f>
        <v>1.03851732</v>
      </c>
      <c r="CG18" s="74" t="s">
        <v>1741</v>
      </c>
      <c r="CH18" s="57" t="s">
        <v>1764</v>
      </c>
      <c r="CI18" s="57" t="s">
        <v>1481</v>
      </c>
      <c r="CJ18" s="57">
        <v>250</v>
      </c>
      <c r="CK18" s="58">
        <v>259.62932999999998</v>
      </c>
      <c r="CL18" s="58">
        <f>IFERROR(Table6[[#This Row],[Redbook WAC price per tablet/capsule (Jan 2023)]]/Table6[[#This Row],[Redbook package strength (mg) (Jan 2023)]], "")</f>
        <v>1.03851732</v>
      </c>
      <c r="CM18" s="57" t="s">
        <v>1741</v>
      </c>
    </row>
    <row r="19" spans="1:92" x14ac:dyDescent="0.3">
      <c r="A19" s="83" t="s">
        <v>36</v>
      </c>
      <c r="B19" s="57" t="s">
        <v>1765</v>
      </c>
      <c r="C19" s="57" t="s">
        <v>1484</v>
      </c>
      <c r="D19" s="57">
        <v>80</v>
      </c>
      <c r="E19" s="57">
        <v>425</v>
      </c>
      <c r="F19" s="57">
        <f>IFERROR(Table6[[#This Row],[Redbook WAC price per tablet/capsule (Jan 2016)]]/Table6[[#This Row],[Redbook package strength (mg) (Jan 2016)]], "")</f>
        <v>5.3125</v>
      </c>
      <c r="G19" s="74" t="s">
        <v>1741</v>
      </c>
      <c r="H19" s="57" t="s">
        <v>1765</v>
      </c>
      <c r="I19" s="57" t="s">
        <v>1484</v>
      </c>
      <c r="J19" s="57">
        <v>80</v>
      </c>
      <c r="K19" s="57">
        <v>450.5</v>
      </c>
      <c r="L19" s="57">
        <f>IFERROR(Table6[[#This Row],[Redbook WAC price per tablet/capsule (Jul 2016)]]/Table6[[#This Row],[Redbook package strength (mg) (Jul 2016)]], "")</f>
        <v>5.6312499999999996</v>
      </c>
      <c r="M19" s="74" t="s">
        <v>1741</v>
      </c>
      <c r="N19" s="57" t="s">
        <v>1765</v>
      </c>
      <c r="O19" s="57" t="s">
        <v>1484</v>
      </c>
      <c r="P19" s="57">
        <v>80</v>
      </c>
      <c r="Q19" s="57">
        <v>473.02499999999998</v>
      </c>
      <c r="R19" s="57">
        <f>IFERROR(Table6[[#This Row],[Redbook WAC price per tablet/capsule (Jan 2017)]]/Table6[[#This Row],[Redbook package strength (mg) (Jan 2017)]], "")</f>
        <v>5.9128124999999994</v>
      </c>
      <c r="S19" s="74" t="s">
        <v>1741</v>
      </c>
      <c r="T19" s="57" t="s">
        <v>1765</v>
      </c>
      <c r="U19" s="57" t="s">
        <v>1484</v>
      </c>
      <c r="V19" s="57">
        <v>80</v>
      </c>
      <c r="W19" s="284">
        <f>(567.63/1.2)</f>
        <v>473.02500000000003</v>
      </c>
      <c r="X19" s="284">
        <f>IFERROR(Table6[[#This Row],[Redbook WAC price per tablet/capsule (Jul 2017)]]/Table6[[#This Row],[Redbook package strength (mg) (Jul 2017)]], "")</f>
        <v>5.9128125000000002</v>
      </c>
      <c r="Y19" s="57" t="s">
        <v>1741</v>
      </c>
      <c r="Z19" s="388" t="s">
        <v>1765</v>
      </c>
      <c r="AA19" s="389" t="s">
        <v>1484</v>
      </c>
      <c r="AB19" s="158">
        <v>80</v>
      </c>
      <c r="AC19" s="390">
        <v>473.02500000000003</v>
      </c>
      <c r="AD19" s="390">
        <f>Table6[[#This Row],[Redbook WAC price per tablet/capsule (Jan 2018)]]/Table6[[#This Row],[Redbook package strength (mg) (Jan 2018)]]</f>
        <v>5.9128125000000002</v>
      </c>
      <c r="AE19" s="391" t="s">
        <v>1741</v>
      </c>
      <c r="AF19" s="388" t="s">
        <v>1765</v>
      </c>
      <c r="AG19" s="389" t="s">
        <v>1484</v>
      </c>
      <c r="AH19" s="397">
        <v>80</v>
      </c>
      <c r="AI19" s="399">
        <v>487.21555833333338</v>
      </c>
      <c r="AJ19" s="399">
        <f>Table6[[#This Row],[Redbook WAC price per tablet/capsule (Jul 2018)]]/Table6[[#This Row],[Redbook package strength (mg) (Jul 2018)]]</f>
        <v>6.0901944791666676</v>
      </c>
      <c r="AK19" s="391" t="s">
        <v>1741</v>
      </c>
      <c r="AL19" s="57" t="s">
        <v>1765</v>
      </c>
      <c r="AM19" s="57" t="s">
        <v>1484</v>
      </c>
      <c r="AN19" s="57">
        <v>80</v>
      </c>
      <c r="AO19" s="58">
        <v>487.21570000000003</v>
      </c>
      <c r="AP19" s="58">
        <f>IFERROR(Table6[[#This Row],[Redbook WAC price per tablet/capsule (Jan 2019)]]/Table6[[#This Row],[Redbook package strength (mg) (Jan 2019)]], "")</f>
        <v>6.09019625</v>
      </c>
      <c r="AQ19" s="74" t="s">
        <v>1741</v>
      </c>
      <c r="AR19" s="73" t="s">
        <v>1765</v>
      </c>
      <c r="AS19" s="57" t="s">
        <v>1484</v>
      </c>
      <c r="AT19" s="57">
        <v>80</v>
      </c>
      <c r="AU19" s="58">
        <v>492.08800000000002</v>
      </c>
      <c r="AV19" s="58">
        <f>IFERROR(Table6[[#This Row],[Redbook WAC price per tablet/capsule (Jul 2019)]]/Table6[[#This Row],[Redbook package strength (mg) (Jul 2019)]], "")</f>
        <v>6.1511000000000005</v>
      </c>
      <c r="AW19" s="74" t="s">
        <v>1741</v>
      </c>
      <c r="AX19" s="73" t="s">
        <v>1765</v>
      </c>
      <c r="AY19" s="57" t="s">
        <v>1484</v>
      </c>
      <c r="AZ19" s="57">
        <v>80</v>
      </c>
      <c r="BA19" s="59">
        <v>497.00869999999998</v>
      </c>
      <c r="BB19" s="59">
        <f>IFERROR(Table6[[#This Row],[Redbook WAC price per tablet/capsule (Jan 2020)]]/Table6[[#This Row],[Redbook package strength (mg) (Jan 2020)]], "")</f>
        <v>6.2126087499999993</v>
      </c>
      <c r="BC19" t="s">
        <v>1741</v>
      </c>
      <c r="BD19" s="73" t="s">
        <v>1765</v>
      </c>
      <c r="BE19" s="57" t="s">
        <v>1484</v>
      </c>
      <c r="BF19" s="57">
        <v>80</v>
      </c>
      <c r="BG19" s="58">
        <v>506.94900000000001</v>
      </c>
      <c r="BH19" s="58">
        <f>IFERROR(Table6[[#This Row],[Redbook WAC price per tablet/capsule (Jul 2020)]]/Table6[[#This Row],[Redbook package strength (mg) (Jul 2020)]], "")</f>
        <v>6.3368625000000005</v>
      </c>
      <c r="BI19" s="74" t="s">
        <v>1741</v>
      </c>
      <c r="BJ19" s="57" t="s">
        <v>1765</v>
      </c>
      <c r="BK19" s="57" t="s">
        <v>1484</v>
      </c>
      <c r="BL19" s="57">
        <v>80</v>
      </c>
      <c r="BM19" s="58">
        <v>506.94900000000001</v>
      </c>
      <c r="BN19" s="58">
        <f>IFERROR(Table6[[#This Row],[Redbook WAC price per tablet/capsule (Jan 2021)]]/Table6[[#This Row],[Redbook package strength (mg) (Jan 2021)]], "")</f>
        <v>6.3368625000000005</v>
      </c>
      <c r="BO19" s="57" t="s">
        <v>1741</v>
      </c>
      <c r="BP19" s="73" t="s">
        <v>1765</v>
      </c>
      <c r="BQ19" s="57" t="s">
        <v>1484</v>
      </c>
      <c r="BR19" s="57">
        <v>80</v>
      </c>
      <c r="BS19" s="58">
        <v>506.94900000000001</v>
      </c>
      <c r="BT19" s="58">
        <f>IFERROR(Table6[[#This Row],[Redbook WAC price per tablet/capsule (Jul 2021)]]/Table6[[#This Row],[Redbook package strength (mg) (Jul 2021)]], "")</f>
        <v>6.3368625000000005</v>
      </c>
      <c r="BU19" s="57" t="s">
        <v>1741</v>
      </c>
      <c r="BV19" s="186" t="s">
        <v>1765</v>
      </c>
      <c r="BW19" s="158" t="s">
        <v>1484</v>
      </c>
      <c r="BX19" s="57">
        <v>80</v>
      </c>
      <c r="BY19" s="58">
        <v>506.94</v>
      </c>
      <c r="BZ19" s="58">
        <f>IFERROR(Table6[[#This Row],[Redbook WAC price per tablet/capsule (Jan 2022)]]/Table6[[#This Row],[Redbook package strength (mg) (Jan 2022)]], "")</f>
        <v>6.3367500000000003</v>
      </c>
      <c r="CA19" s="74" t="s">
        <v>1741</v>
      </c>
      <c r="CB19" s="57" t="s">
        <v>1765</v>
      </c>
      <c r="CC19" s="57" t="s">
        <v>1484</v>
      </c>
      <c r="CD19" s="57">
        <v>80</v>
      </c>
      <c r="CE19" s="58">
        <v>522.15733</v>
      </c>
      <c r="CF19" s="247">
        <f>IFERROR(Table6[[#This Row],[Redbook WAC price per tablet/capsule (Jul 2022)]]/Table6[[#This Row],[Redbook package strength (mg) (Jul 2022)]], "")</f>
        <v>6.526966625</v>
      </c>
      <c r="CG19" s="74" t="s">
        <v>1741</v>
      </c>
      <c r="CH19" s="57" t="s">
        <v>1765</v>
      </c>
      <c r="CI19" s="57" t="s">
        <v>1484</v>
      </c>
      <c r="CJ19" s="57">
        <v>80</v>
      </c>
      <c r="CK19" s="58">
        <v>537.822</v>
      </c>
      <c r="CL19" s="58">
        <f>IFERROR(Table6[[#This Row],[Redbook WAC price per tablet/capsule (Jan 2023)]]/Table6[[#This Row],[Redbook package strength (mg) (Jan 2023)]], "")</f>
        <v>6.7227750000000004</v>
      </c>
      <c r="CM19" s="57" t="s">
        <v>1741</v>
      </c>
    </row>
    <row r="20" spans="1:92" x14ac:dyDescent="0.3">
      <c r="A20" s="85" t="s">
        <v>37</v>
      </c>
      <c r="B20" s="57" t="s">
        <v>1766</v>
      </c>
      <c r="C20" s="57" t="s">
        <v>1485</v>
      </c>
      <c r="D20" s="57">
        <v>150</v>
      </c>
      <c r="E20" s="57">
        <v>51.3642333333</v>
      </c>
      <c r="F20" s="57">
        <f>IFERROR(Table6[[#This Row],[Redbook WAC price per tablet/capsule (Jan 2016)]]/Table6[[#This Row],[Redbook package strength (mg) (Jan 2016)]], "")</f>
        <v>0.34242822222199998</v>
      </c>
      <c r="G20" s="74" t="s">
        <v>1741</v>
      </c>
      <c r="H20" s="57" t="s">
        <v>1766</v>
      </c>
      <c r="I20" s="57" t="s">
        <v>1485</v>
      </c>
      <c r="J20" s="57">
        <v>150</v>
      </c>
      <c r="K20" s="57">
        <v>51.3642333333</v>
      </c>
      <c r="L20" s="57">
        <f>IFERROR(Table6[[#This Row],[Redbook WAC price per tablet/capsule (Jul 2016)]]/Table6[[#This Row],[Redbook package strength (mg) (Jul 2016)]], "")</f>
        <v>0.34242822222199998</v>
      </c>
      <c r="M20" s="74" t="s">
        <v>1741</v>
      </c>
      <c r="N20" s="57" t="s">
        <v>1766</v>
      </c>
      <c r="O20" s="57" t="s">
        <v>1485</v>
      </c>
      <c r="P20" s="57">
        <v>150</v>
      </c>
      <c r="Q20" s="57">
        <v>55.473366666700002</v>
      </c>
      <c r="R20" s="57">
        <f>IFERROR(Table6[[#This Row],[Redbook WAC price per tablet/capsule (Jan 2017)]]/Table6[[#This Row],[Redbook package strength (mg) (Jan 2017)]], "")</f>
        <v>0.36982244444466666</v>
      </c>
      <c r="S20" s="74" t="s">
        <v>1741</v>
      </c>
      <c r="T20" s="57" t="s">
        <v>1766</v>
      </c>
      <c r="U20" s="57" t="s">
        <v>1485</v>
      </c>
      <c r="V20" s="57">
        <v>150</v>
      </c>
      <c r="W20" s="284">
        <f>(66.56804/1.2)</f>
        <v>55.473366666666664</v>
      </c>
      <c r="X20" s="284">
        <f>IFERROR(Table6[[#This Row],[Redbook WAC price per tablet/capsule (Jul 2017)]]/Table6[[#This Row],[Redbook package strength (mg) (Jul 2017)]], "")</f>
        <v>0.3698224444444444</v>
      </c>
      <c r="Y20" s="57" t="s">
        <v>1741</v>
      </c>
      <c r="Z20" s="388" t="s">
        <v>1766</v>
      </c>
      <c r="AA20" s="389" t="s">
        <v>1485</v>
      </c>
      <c r="AB20" s="158">
        <v>150</v>
      </c>
      <c r="AC20" s="390">
        <v>55.473366666666664</v>
      </c>
      <c r="AD20" s="390">
        <f>Table6[[#This Row],[Redbook WAC price per tablet/capsule (Jan 2018)]]/Table6[[#This Row],[Redbook package strength (mg) (Jan 2018)]]</f>
        <v>0.3698224444444444</v>
      </c>
      <c r="AE20" s="391" t="s">
        <v>1741</v>
      </c>
      <c r="AF20" s="388" t="s">
        <v>1766</v>
      </c>
      <c r="AG20" s="389" t="s">
        <v>1485</v>
      </c>
      <c r="AH20" s="397">
        <v>150</v>
      </c>
      <c r="AI20" s="399">
        <v>60.465975</v>
      </c>
      <c r="AJ20" s="399">
        <f>Table6[[#This Row],[Redbook WAC price per tablet/capsule (Jul 2018)]]/Table6[[#This Row],[Redbook package strength (mg) (Jul 2018)]]</f>
        <v>0.40310649999999998</v>
      </c>
      <c r="AK20" s="391" t="s">
        <v>1741</v>
      </c>
      <c r="AL20" s="57" t="s">
        <v>1766</v>
      </c>
      <c r="AM20" s="57" t="s">
        <v>1485</v>
      </c>
      <c r="AN20" s="57">
        <v>150</v>
      </c>
      <c r="AO20" s="58">
        <v>60.466000000000001</v>
      </c>
      <c r="AP20" s="58">
        <f>IFERROR(Table6[[#This Row],[Redbook WAC price per tablet/capsule (Jan 2019)]]/Table6[[#This Row],[Redbook package strength (mg) (Jan 2019)]], "")</f>
        <v>0.40310666666666667</v>
      </c>
      <c r="AQ20" s="74" t="s">
        <v>1741</v>
      </c>
      <c r="AR20" s="73" t="s">
        <v>1766</v>
      </c>
      <c r="AS20" s="57" t="s">
        <v>1485</v>
      </c>
      <c r="AT20" s="57">
        <v>150</v>
      </c>
      <c r="AU20" s="58">
        <v>62.279899999999998</v>
      </c>
      <c r="AV20" s="58">
        <f>IFERROR(Table6[[#This Row],[Redbook WAC price per tablet/capsule (Jul 2019)]]/Table6[[#This Row],[Redbook package strength (mg) (Jul 2019)]], "")</f>
        <v>0.41519933333333331</v>
      </c>
      <c r="AW20" s="74" t="s">
        <v>1741</v>
      </c>
      <c r="AX20" s="73" t="s">
        <v>1766</v>
      </c>
      <c r="AY20" s="57" t="s">
        <v>1485</v>
      </c>
      <c r="AZ20" s="57">
        <v>150</v>
      </c>
      <c r="BA20" s="59">
        <v>64.148300000000006</v>
      </c>
      <c r="BB20" s="59">
        <f>IFERROR(Table6[[#This Row],[Redbook WAC price per tablet/capsule (Jan 2020)]]/Table6[[#This Row],[Redbook package strength (mg) (Jan 2020)]], "")</f>
        <v>0.42765533333333339</v>
      </c>
      <c r="BC20" t="s">
        <v>1741</v>
      </c>
      <c r="BD20" s="73" t="s">
        <v>1766</v>
      </c>
      <c r="BE20" s="57" t="s">
        <v>1485</v>
      </c>
      <c r="BF20" s="57">
        <v>150</v>
      </c>
      <c r="BG20" s="58">
        <v>64.148300000000006</v>
      </c>
      <c r="BH20" s="58">
        <f>IFERROR(Table6[[#This Row],[Redbook WAC price per tablet/capsule (Jul 2020)]]/Table6[[#This Row],[Redbook package strength (mg) (Jul 2020)]], "")</f>
        <v>0.42765533333333339</v>
      </c>
      <c r="BI20" s="74" t="s">
        <v>1741</v>
      </c>
      <c r="BJ20" s="57" t="s">
        <v>1766</v>
      </c>
      <c r="BK20" s="57" t="s">
        <v>1485</v>
      </c>
      <c r="BL20" s="57">
        <v>150</v>
      </c>
      <c r="BM20" s="58">
        <v>66.072774999999993</v>
      </c>
      <c r="BN20" s="58">
        <f>IFERROR(Table6[[#This Row],[Redbook WAC price per tablet/capsule (Jan 2021)]]/Table6[[#This Row],[Redbook package strength (mg) (Jan 2021)]], "")</f>
        <v>0.44048516666666659</v>
      </c>
      <c r="BO20" s="57" t="s">
        <v>1741</v>
      </c>
      <c r="BP20" s="73" t="s">
        <v>1766</v>
      </c>
      <c r="BQ20" s="57" t="s">
        <v>1485</v>
      </c>
      <c r="BR20" s="57">
        <v>150</v>
      </c>
      <c r="BS20" s="58">
        <v>66.072774999999993</v>
      </c>
      <c r="BT20" s="58">
        <f>IFERROR(Table6[[#This Row],[Redbook WAC price per tablet/capsule (Jul 2021)]]/Table6[[#This Row],[Redbook package strength (mg) (Jul 2021)]], "")</f>
        <v>0.44048516666666659</v>
      </c>
      <c r="BU20" s="57" t="s">
        <v>1741</v>
      </c>
      <c r="BV20" s="186" t="s">
        <v>1766</v>
      </c>
      <c r="BW20" s="158" t="s">
        <v>1485</v>
      </c>
      <c r="BX20" s="57">
        <v>150</v>
      </c>
      <c r="BY20" s="58">
        <v>68.715599999999995</v>
      </c>
      <c r="BZ20" s="58">
        <f>IFERROR(Table6[[#This Row],[Redbook WAC price per tablet/capsule (Jan 2022)]]/Table6[[#This Row],[Redbook package strength (mg) (Jan 2022)]], "")</f>
        <v>0.45810399999999996</v>
      </c>
      <c r="CA20" s="74" t="s">
        <v>1741</v>
      </c>
      <c r="CB20" s="57" t="s">
        <v>1766</v>
      </c>
      <c r="CC20" s="57" t="s">
        <v>1485</v>
      </c>
      <c r="CD20" s="57">
        <v>150</v>
      </c>
      <c r="CE20" s="58">
        <v>69.402879999999996</v>
      </c>
      <c r="CF20" s="58">
        <f>IFERROR(Table6[[#This Row],[Redbook WAC price per tablet/capsule (Jul 2022)]]/Table6[[#This Row],[Redbook package strength (mg) (Jul 2022)]], "")</f>
        <v>0.46268586666666667</v>
      </c>
      <c r="CG20" s="74" t="s">
        <v>1741</v>
      </c>
      <c r="CH20" s="57" t="s">
        <v>1766</v>
      </c>
      <c r="CI20" s="57" t="s">
        <v>1485</v>
      </c>
      <c r="CJ20" s="57">
        <v>150</v>
      </c>
      <c r="CK20" s="58">
        <v>72.873000000000005</v>
      </c>
      <c r="CL20" s="58">
        <f>IFERROR(Table6[[#This Row],[Redbook WAC price per tablet/capsule (Jan 2023)]]/Table6[[#This Row],[Redbook package strength (mg) (Jan 2023)]], "")</f>
        <v>0.48582000000000003</v>
      </c>
      <c r="CM20" s="57" t="s">
        <v>1741</v>
      </c>
    </row>
    <row r="21" spans="1:92" x14ac:dyDescent="0.3">
      <c r="A21" s="83" t="s">
        <v>38</v>
      </c>
      <c r="B21" s="57"/>
      <c r="C21" s="57"/>
      <c r="D21" s="57"/>
      <c r="E21" s="57"/>
      <c r="F21" s="57" t="str">
        <f>IFERROR(Table6[[#This Row],[Redbook WAC price per tablet/capsule (Jan 2016)]]/Table6[[#This Row],[Redbook package strength (mg) (Jan 2016)]], "")</f>
        <v/>
      </c>
      <c r="G21" s="74"/>
      <c r="H21" s="57"/>
      <c r="I21" s="57"/>
      <c r="J21" s="57"/>
      <c r="K21" s="57"/>
      <c r="L21" s="57" t="str">
        <f>IFERROR(Table6[[#This Row],[Redbook WAC price per tablet/capsule (Jul 2016)]]/Table6[[#This Row],[Redbook package strength (mg) (Jul 2016)]], "")</f>
        <v/>
      </c>
      <c r="M21" s="74"/>
      <c r="N21" s="57"/>
      <c r="O21" s="57"/>
      <c r="P21" s="57"/>
      <c r="Q21" s="57"/>
      <c r="R21" s="57" t="str">
        <f>IFERROR(Table6[[#This Row],[Redbook WAC price per tablet/capsule (Jan 2017)]]/Table6[[#This Row],[Redbook package strength (mg) (Jan 2017)]], "")</f>
        <v/>
      </c>
      <c r="S21" s="74"/>
      <c r="T21" s="57" t="s">
        <v>1767</v>
      </c>
      <c r="U21" s="57" t="s">
        <v>1497</v>
      </c>
      <c r="V21" s="57">
        <v>180</v>
      </c>
      <c r="W21" s="284">
        <f>(570/1.2)</f>
        <v>475</v>
      </c>
      <c r="X21" s="284">
        <f>IFERROR(Table6[[#This Row],[Redbook WAC price per tablet/capsule (Jul 2017)]]/Table6[[#This Row],[Redbook package strength (mg) (Jul 2017)]], "")</f>
        <v>2.6388888888888888</v>
      </c>
      <c r="Y21" s="57" t="s">
        <v>1741</v>
      </c>
      <c r="Z21" s="388" t="s">
        <v>1767</v>
      </c>
      <c r="AA21" s="389" t="s">
        <v>1497</v>
      </c>
      <c r="AB21" s="158">
        <v>180</v>
      </c>
      <c r="AC21" s="390">
        <v>475</v>
      </c>
      <c r="AD21" s="390">
        <f>Table6[[#This Row],[Redbook WAC price per tablet/capsule (Jan 2018)]]/Table6[[#This Row],[Redbook package strength (mg) (Jan 2018)]]</f>
        <v>2.6388888888888888</v>
      </c>
      <c r="AE21" s="391" t="s">
        <v>1741</v>
      </c>
      <c r="AF21" s="388" t="s">
        <v>1767</v>
      </c>
      <c r="AG21" s="389" t="s">
        <v>1497</v>
      </c>
      <c r="AH21" s="397">
        <v>180</v>
      </c>
      <c r="AI21" s="399">
        <v>517.76666666666677</v>
      </c>
      <c r="AJ21" s="399">
        <f>Table6[[#This Row],[Redbook WAC price per tablet/capsule (Jul 2018)]]/Table6[[#This Row],[Redbook package strength (mg) (Jul 2018)]]</f>
        <v>2.8764814814814819</v>
      </c>
      <c r="AK21" s="391" t="s">
        <v>1741</v>
      </c>
      <c r="AL21" s="57" t="s">
        <v>1767</v>
      </c>
      <c r="AM21" s="57" t="s">
        <v>1497</v>
      </c>
      <c r="AN21" s="57">
        <v>180</v>
      </c>
      <c r="AO21" s="58">
        <v>517.76670000000001</v>
      </c>
      <c r="AP21" s="58">
        <f>IFERROR(Table6[[#This Row],[Redbook WAC price per tablet/capsule (Jan 2019)]]/Table6[[#This Row],[Redbook package strength (mg) (Jan 2019)]], "")</f>
        <v>2.8764816666666668</v>
      </c>
      <c r="AQ21" s="74" t="s">
        <v>1741</v>
      </c>
      <c r="AR21" s="73" t="s">
        <v>1767</v>
      </c>
      <c r="AS21" s="57" t="s">
        <v>1497</v>
      </c>
      <c r="AT21" s="57">
        <v>180</v>
      </c>
      <c r="AU21" s="58">
        <v>532.13340000000005</v>
      </c>
      <c r="AV21" s="58">
        <f>IFERROR(Table6[[#This Row],[Redbook WAC price per tablet/capsule (Jul 2019)]]/Table6[[#This Row],[Redbook package strength (mg) (Jul 2019)]], "")</f>
        <v>2.9562966666666668</v>
      </c>
      <c r="AW21" s="74" t="s">
        <v>1741</v>
      </c>
      <c r="AX21" s="73" t="s">
        <v>1767</v>
      </c>
      <c r="AY21" s="57" t="s">
        <v>1497</v>
      </c>
      <c r="AZ21" s="57">
        <v>180</v>
      </c>
      <c r="BA21" s="59">
        <v>532.13340000000005</v>
      </c>
      <c r="BB21" s="59">
        <f>IFERROR(Table6[[#This Row],[Redbook WAC price per tablet/capsule (Jan 2020)]]/Table6[[#This Row],[Redbook package strength (mg) (Jan 2020)]], "")</f>
        <v>2.9562966666666668</v>
      </c>
      <c r="BC21" t="s">
        <v>1741</v>
      </c>
      <c r="BD21" s="73" t="s">
        <v>1767</v>
      </c>
      <c r="BE21" s="57" t="s">
        <v>1497</v>
      </c>
      <c r="BF21" s="57">
        <v>180</v>
      </c>
      <c r="BG21" s="58">
        <v>532.13340000000005</v>
      </c>
      <c r="BH21" s="58">
        <f>IFERROR(Table6[[#This Row],[Redbook WAC price per tablet/capsule (Jul 2020)]]/Table6[[#This Row],[Redbook package strength (mg) (Jul 2020)]], "")</f>
        <v>2.9562966666666668</v>
      </c>
      <c r="BI21" s="74" t="s">
        <v>1741</v>
      </c>
      <c r="BJ21" s="57" t="s">
        <v>1767</v>
      </c>
      <c r="BK21" s="57" t="s">
        <v>1497</v>
      </c>
      <c r="BL21" s="57">
        <v>180</v>
      </c>
      <c r="BM21" s="58">
        <v>545.46667000000002</v>
      </c>
      <c r="BN21" s="58">
        <f>IFERROR(Table6[[#This Row],[Redbook WAC price per tablet/capsule (Jan 2021)]]/Table6[[#This Row],[Redbook package strength (mg) (Jan 2021)]], "")</f>
        <v>3.0303703888888891</v>
      </c>
      <c r="BO21" s="57" t="s">
        <v>1741</v>
      </c>
      <c r="BP21" s="73" t="s">
        <v>1767</v>
      </c>
      <c r="BQ21" s="57" t="s">
        <v>1497</v>
      </c>
      <c r="BR21" s="57">
        <v>180</v>
      </c>
      <c r="BS21" s="58">
        <v>567.29999999999995</v>
      </c>
      <c r="BT21" s="58">
        <f>IFERROR(Table6[[#This Row],[Redbook WAC price per tablet/capsule (Jul 2021)]]/Table6[[#This Row],[Redbook package strength (mg) (Jul 2021)]], "")</f>
        <v>3.1516666666666664</v>
      </c>
      <c r="BU21" s="57" t="s">
        <v>1741</v>
      </c>
      <c r="BV21" s="186" t="s">
        <v>1767</v>
      </c>
      <c r="BW21" s="158" t="s">
        <v>1497</v>
      </c>
      <c r="BX21" s="57">
        <v>180</v>
      </c>
      <c r="BY21" s="58">
        <v>567.29999999999995</v>
      </c>
      <c r="BZ21" s="58">
        <f>IFERROR(Table6[[#This Row],[Redbook WAC price per tablet/capsule (Jan 2022)]]/Table6[[#This Row],[Redbook package strength (mg) (Jan 2022)]], "")</f>
        <v>3.1516666666666664</v>
      </c>
      <c r="CA21" s="74" t="s">
        <v>1741</v>
      </c>
      <c r="CB21" s="57" t="s">
        <v>1767</v>
      </c>
      <c r="CC21" s="57" t="s">
        <v>1497</v>
      </c>
      <c r="CD21" s="57">
        <v>180</v>
      </c>
      <c r="CE21" s="58">
        <v>595.66666999999995</v>
      </c>
      <c r="CF21" s="247">
        <f>IFERROR(Table6[[#This Row],[Redbook WAC price per tablet/capsule (Jul 2022)]]/Table6[[#This Row],[Redbook package strength (mg) (Jul 2022)]], "")</f>
        <v>3.3092592777777776</v>
      </c>
      <c r="CG21" s="74" t="s">
        <v>1741</v>
      </c>
      <c r="CH21" s="57" t="s">
        <v>1767</v>
      </c>
      <c r="CI21" s="57" t="s">
        <v>1497</v>
      </c>
      <c r="CJ21" s="57">
        <v>180</v>
      </c>
      <c r="CK21" s="58">
        <v>595.66666999999995</v>
      </c>
      <c r="CL21" s="58">
        <f>IFERROR(Table6[[#This Row],[Redbook WAC price per tablet/capsule (Jan 2023)]]/Table6[[#This Row],[Redbook package strength (mg) (Jan 2023)]], "")</f>
        <v>3.3092592777777776</v>
      </c>
      <c r="CM21" s="57" t="s">
        <v>1741</v>
      </c>
      <c r="CN21" t="s">
        <v>2442</v>
      </c>
    </row>
    <row r="22" spans="1:92" x14ac:dyDescent="0.3">
      <c r="A22" s="135" t="s">
        <v>39</v>
      </c>
      <c r="B22" s="283" t="s">
        <v>1798</v>
      </c>
      <c r="C22" s="354" t="s">
        <v>1718</v>
      </c>
      <c r="D22" s="354">
        <v>150</v>
      </c>
      <c r="E22" s="354">
        <v>89.9857166667</v>
      </c>
      <c r="F22" s="354">
        <f>IFERROR(Table6[[#This Row],[Redbook WAC price per tablet/capsule (Jan 2016)]]/Table6[[#This Row],[Redbook package strength (mg) (Jan 2016)]], "")</f>
        <v>0.599904777778</v>
      </c>
      <c r="G22" s="355" t="s">
        <v>1741</v>
      </c>
      <c r="H22" s="283" t="s">
        <v>1798</v>
      </c>
      <c r="I22" s="283" t="s">
        <v>1718</v>
      </c>
      <c r="J22" s="283">
        <v>150</v>
      </c>
      <c r="K22" s="283">
        <v>95.834883333299999</v>
      </c>
      <c r="L22" s="57">
        <f>IFERROR(Table6[[#This Row],[Redbook WAC price per tablet/capsule (Jul 2016)]]/Table6[[#This Row],[Redbook package strength (mg) (Jul 2016)]], "")</f>
        <v>0.63889922222200002</v>
      </c>
      <c r="M22" s="350" t="s">
        <v>1741</v>
      </c>
      <c r="N22" s="283" t="s">
        <v>1798</v>
      </c>
      <c r="O22" s="283" t="s">
        <v>1718</v>
      </c>
      <c r="P22" s="283">
        <v>150</v>
      </c>
      <c r="Q22" s="283">
        <v>95.834883333299999</v>
      </c>
      <c r="R22" s="57">
        <f>IFERROR(Table6[[#This Row],[Redbook WAC price per tablet/capsule (Jan 2017)]]/Table6[[#This Row],[Redbook package strength (mg) (Jan 2017)]], "")</f>
        <v>0.63889922222200002</v>
      </c>
      <c r="S22" s="350" t="s">
        <v>1741</v>
      </c>
      <c r="T22" s="283" t="s">
        <v>1798</v>
      </c>
      <c r="U22" s="57" t="s">
        <v>1718</v>
      </c>
      <c r="V22">
        <v>150</v>
      </c>
      <c r="W22" s="92">
        <v>105.356308333</v>
      </c>
      <c r="X22" s="284">
        <f>IFERROR(Table6[[#This Row],[Redbook WAC price per tablet/capsule (Jul 2017)]]/Table6[[#This Row],[Redbook package strength (mg) (Jul 2017)]], "")</f>
        <v>0.70237538888666673</v>
      </c>
      <c r="Y22" s="57" t="s">
        <v>1741</v>
      </c>
      <c r="Z22" s="388" t="s">
        <v>1798</v>
      </c>
      <c r="AA22" s="389" t="s">
        <v>1718</v>
      </c>
      <c r="AB22" s="158">
        <v>150</v>
      </c>
      <c r="AC22" s="390">
        <v>105.35630833333335</v>
      </c>
      <c r="AD22" s="390">
        <f>Table6[[#This Row],[Redbook WAC price per tablet/capsule (Jan 2018)]]/Table6[[#This Row],[Redbook package strength (mg) (Jan 2018)]]</f>
        <v>0.70237538888888895</v>
      </c>
      <c r="AE22" s="391" t="s">
        <v>1741</v>
      </c>
      <c r="AF22" s="388" t="s">
        <v>1798</v>
      </c>
      <c r="AG22" s="389" t="s">
        <v>1718</v>
      </c>
      <c r="AH22" s="397">
        <v>150</v>
      </c>
      <c r="AI22" s="399">
        <v>110.62416666666667</v>
      </c>
      <c r="AJ22" s="399">
        <f>Table6[[#This Row],[Redbook WAC price per tablet/capsule (Jul 2018)]]/Table6[[#This Row],[Redbook package strength (mg) (Jul 2018)]]</f>
        <v>0.73749444444444445</v>
      </c>
      <c r="AK22" s="391" t="s">
        <v>1741</v>
      </c>
      <c r="AL22" s="57" t="s">
        <v>1798</v>
      </c>
      <c r="AM22" s="57" t="s">
        <v>1718</v>
      </c>
      <c r="AN22" s="57">
        <v>150</v>
      </c>
      <c r="AO22" s="58">
        <v>110.6242</v>
      </c>
      <c r="AP22" s="58">
        <f>IFERROR(Table6[[#This Row],[Redbook WAC price per tablet/capsule (Jan 2019)]]/Table6[[#This Row],[Redbook package strength (mg) (Jan 2019)]], "")</f>
        <v>0.73749466666666663</v>
      </c>
      <c r="AQ22" s="74" t="s">
        <v>1741</v>
      </c>
      <c r="AR22" s="73" t="s">
        <v>1768</v>
      </c>
      <c r="AS22" s="57" t="s">
        <v>1718</v>
      </c>
      <c r="AT22" s="57">
        <v>150</v>
      </c>
      <c r="AU22" s="58">
        <v>117.2615</v>
      </c>
      <c r="AV22" s="58">
        <f>IFERROR(Table6[[#This Row],[Redbook WAC price per tablet/capsule (Jul 2019)]]/Table6[[#This Row],[Redbook package strength (mg) (Jul 2019)]], "")</f>
        <v>0.78174333333333335</v>
      </c>
      <c r="AW22" s="74" t="s">
        <v>1741</v>
      </c>
      <c r="AX22" s="73" t="s">
        <v>1768</v>
      </c>
      <c r="AY22" s="57" t="s">
        <v>1718</v>
      </c>
      <c r="AZ22" s="57">
        <v>150</v>
      </c>
      <c r="BA22" s="59">
        <v>117.2615</v>
      </c>
      <c r="BB22" s="59">
        <f>IFERROR(Table6[[#This Row],[Redbook WAC price per tablet/capsule (Jan 2020)]]/Table6[[#This Row],[Redbook package strength (mg) (Jan 2020)]], "")</f>
        <v>0.78174333333333335</v>
      </c>
      <c r="BC22" t="s">
        <v>1741</v>
      </c>
      <c r="BD22" s="73" t="s">
        <v>1768</v>
      </c>
      <c r="BE22" s="57" t="s">
        <v>1718</v>
      </c>
      <c r="BF22" s="57">
        <v>150</v>
      </c>
      <c r="BG22" s="58">
        <v>121.952</v>
      </c>
      <c r="BH22" s="58">
        <f>IFERROR(Table6[[#This Row],[Redbook WAC price per tablet/capsule (Jul 2020)]]/Table6[[#This Row],[Redbook package strength (mg) (Jul 2020)]], "")</f>
        <v>0.81301333333333337</v>
      </c>
      <c r="BI22" s="74" t="s">
        <v>1741</v>
      </c>
      <c r="BJ22" s="57" t="s">
        <v>1768</v>
      </c>
      <c r="BK22" s="57" t="s">
        <v>1718</v>
      </c>
      <c r="BL22" s="57">
        <v>150</v>
      </c>
      <c r="BM22" s="58">
        <v>121.952</v>
      </c>
      <c r="BN22" s="58">
        <f>IFERROR(Table6[[#This Row],[Redbook WAC price per tablet/capsule (Jan 2021)]]/Table6[[#This Row],[Redbook package strength (mg) (Jan 2021)]], "")</f>
        <v>0.81301333333333337</v>
      </c>
      <c r="BO22" s="57" t="s">
        <v>1741</v>
      </c>
      <c r="BP22" s="73" t="s">
        <v>1768</v>
      </c>
      <c r="BQ22" s="57" t="s">
        <v>1718</v>
      </c>
      <c r="BR22" s="57">
        <v>150</v>
      </c>
      <c r="BS22" s="58">
        <v>126.830158</v>
      </c>
      <c r="BT22" s="58">
        <f>IFERROR(Table6[[#This Row],[Redbook WAC price per tablet/capsule (Jul 2021)]]/Table6[[#This Row],[Redbook package strength (mg) (Jul 2021)]], "")</f>
        <v>0.84553438666666669</v>
      </c>
      <c r="BU22" s="57" t="s">
        <v>1741</v>
      </c>
      <c r="BV22" s="186" t="s">
        <v>1768</v>
      </c>
      <c r="BW22" s="158" t="s">
        <v>1718</v>
      </c>
      <c r="BX22" s="57">
        <v>150</v>
      </c>
      <c r="BY22" s="58">
        <v>126.81</v>
      </c>
      <c r="BZ22" s="58">
        <f>IFERROR(Table6[[#This Row],[Redbook WAC price per tablet/capsule (Jan 2022)]]/Table6[[#This Row],[Redbook package strength (mg) (Jan 2022)]], "")</f>
        <v>0.84540000000000004</v>
      </c>
      <c r="CA22" s="74" t="s">
        <v>1741</v>
      </c>
      <c r="CB22" s="57" t="s">
        <v>1768</v>
      </c>
      <c r="CC22" s="158" t="s">
        <v>1718</v>
      </c>
      <c r="CD22" s="57">
        <v>150</v>
      </c>
      <c r="CE22" s="58">
        <v>131.90333000000001</v>
      </c>
      <c r="CF22" s="247">
        <f>IFERROR(Table6[[#This Row],[Redbook WAC price per tablet/capsule (Jul 2022)]]/Table6[[#This Row],[Redbook package strength (mg) (Jul 2022)]], "")</f>
        <v>0.87935553333333338</v>
      </c>
      <c r="CG22" s="74" t="s">
        <v>1741</v>
      </c>
      <c r="CH22" s="57" t="s">
        <v>1768</v>
      </c>
      <c r="CI22" s="57" t="s">
        <v>1718</v>
      </c>
      <c r="CJ22" s="57">
        <v>150</v>
      </c>
      <c r="CK22" s="58">
        <v>144.96179000000001</v>
      </c>
      <c r="CL22" s="58">
        <f>IFERROR(Table6[[#This Row],[Redbook WAC price per tablet/capsule (Jan 2023)]]/Table6[[#This Row],[Redbook package strength (mg) (Jan 2023)]], "")</f>
        <v>0.96641193333333342</v>
      </c>
      <c r="CM22" s="57" t="s">
        <v>1741</v>
      </c>
      <c r="CN22" t="s">
        <v>2451</v>
      </c>
    </row>
    <row r="23" spans="1:92" ht="12" customHeight="1" x14ac:dyDescent="0.3">
      <c r="A23" s="83" t="s">
        <v>40</v>
      </c>
      <c r="B23" s="57" t="s">
        <v>1769</v>
      </c>
      <c r="C23" s="57" t="s">
        <v>1486</v>
      </c>
      <c r="D23" s="57">
        <v>250</v>
      </c>
      <c r="E23" s="57">
        <v>235.648608333</v>
      </c>
      <c r="F23" s="57">
        <f>IFERROR(Table6[[#This Row],[Redbook WAC price per tablet/capsule (Jan 2016)]]/Table6[[#This Row],[Redbook package strength (mg) (Jan 2016)]], "")</f>
        <v>0.94259443333199999</v>
      </c>
      <c r="G23" s="74" t="s">
        <v>1741</v>
      </c>
      <c r="H23" s="57" t="s">
        <v>1769</v>
      </c>
      <c r="I23" s="57" t="s">
        <v>1486</v>
      </c>
      <c r="J23" s="57">
        <v>250</v>
      </c>
      <c r="K23" s="57">
        <v>235.648608333</v>
      </c>
      <c r="L23" s="57">
        <f>IFERROR(Table6[[#This Row],[Redbook WAC price per tablet/capsule (Jul 2016)]]/Table6[[#This Row],[Redbook package strength (mg) (Jul 2016)]], "")</f>
        <v>0.94259443333199999</v>
      </c>
      <c r="M23" s="74" t="s">
        <v>1741</v>
      </c>
      <c r="N23" s="57" t="s">
        <v>1769</v>
      </c>
      <c r="O23" s="57" t="s">
        <v>1486</v>
      </c>
      <c r="P23" s="57">
        <v>250</v>
      </c>
      <c r="Q23" s="57">
        <v>247.431108333</v>
      </c>
      <c r="R23" s="57">
        <f>IFERROR(Table6[[#This Row],[Redbook WAC price per tablet/capsule (Jan 2017)]]/Table6[[#This Row],[Redbook package strength (mg) (Jan 2017)]], "")</f>
        <v>0.989724433332</v>
      </c>
      <c r="S23" s="74" t="s">
        <v>1741</v>
      </c>
      <c r="T23" s="57" t="s">
        <v>1769</v>
      </c>
      <c r="U23" s="57" t="s">
        <v>1486</v>
      </c>
      <c r="V23" s="57">
        <v>250</v>
      </c>
      <c r="W23" s="284">
        <f>(305.825/1.2)</f>
        <v>254.85416666666666</v>
      </c>
      <c r="X23" s="284">
        <f>IFERROR(Table6[[#This Row],[Redbook WAC price per tablet/capsule (Jul 2017)]]/Table6[[#This Row],[Redbook package strength (mg) (Jul 2017)]], "")</f>
        <v>1.0194166666666666</v>
      </c>
      <c r="Y23" s="57" t="s">
        <v>1741</v>
      </c>
      <c r="Z23" s="388" t="s">
        <v>1769</v>
      </c>
      <c r="AA23" s="389" t="s">
        <v>1486</v>
      </c>
      <c r="AB23" s="158">
        <v>250</v>
      </c>
      <c r="AC23" s="390">
        <v>254.85416666666666</v>
      </c>
      <c r="AD23" s="390">
        <f>Table6[[#This Row],[Redbook WAC price per tablet/capsule (Jan 2018)]]/Table6[[#This Row],[Redbook package strength (mg) (Jan 2018)]]</f>
        <v>1.0194166666666666</v>
      </c>
      <c r="AE23" s="391" t="s">
        <v>1741</v>
      </c>
      <c r="AF23" s="388" t="s">
        <v>1769</v>
      </c>
      <c r="AG23" s="389" t="s">
        <v>1486</v>
      </c>
      <c r="AH23" s="397">
        <v>250</v>
      </c>
      <c r="AI23" s="399">
        <v>275.62472500000001</v>
      </c>
      <c r="AJ23" s="399">
        <f>Table6[[#This Row],[Redbook WAC price per tablet/capsule (Jul 2018)]]/Table6[[#This Row],[Redbook package strength (mg) (Jul 2018)]]</f>
        <v>1.1024989000000001</v>
      </c>
      <c r="AK23" s="391" t="s">
        <v>1741</v>
      </c>
      <c r="AL23" s="57" t="s">
        <v>1769</v>
      </c>
      <c r="AM23" s="57" t="s">
        <v>1486</v>
      </c>
      <c r="AN23" s="57">
        <v>250</v>
      </c>
      <c r="AO23" s="58">
        <v>267.59679999999997</v>
      </c>
      <c r="AP23" s="58">
        <f>IFERROR(Table6[[#This Row],[Redbook WAC price per tablet/capsule (Jan 2019)]]/Table6[[#This Row],[Redbook package strength (mg) (Jan 2019)]], "")</f>
        <v>1.0703871999999999</v>
      </c>
      <c r="AQ23" s="74" t="s">
        <v>1741</v>
      </c>
      <c r="AR23" s="73" t="s">
        <v>1769</v>
      </c>
      <c r="AS23" s="57" t="s">
        <v>1486</v>
      </c>
      <c r="AT23" s="57">
        <v>250</v>
      </c>
      <c r="AU23" s="58">
        <v>280.97669999999999</v>
      </c>
      <c r="AV23" s="58">
        <f>IFERROR(Table6[[#This Row],[Redbook WAC price per tablet/capsule (Jul 2019)]]/Table6[[#This Row],[Redbook package strength (mg) (Jul 2019)]], "")</f>
        <v>1.1239067999999999</v>
      </c>
      <c r="AW23" s="74" t="s">
        <v>1741</v>
      </c>
      <c r="AX23" s="73" t="s">
        <v>1769</v>
      </c>
      <c r="AY23" s="57" t="s">
        <v>1486</v>
      </c>
      <c r="AZ23" s="57">
        <v>250</v>
      </c>
      <c r="BA23" s="59">
        <v>295.02550000000002</v>
      </c>
      <c r="BB23" s="59">
        <f>IFERROR(Table6[[#This Row],[Redbook WAC price per tablet/capsule (Jan 2020)]]/Table6[[#This Row],[Redbook package strength (mg) (Jan 2020)]], "")</f>
        <v>1.180102</v>
      </c>
      <c r="BC23" t="s">
        <v>1741</v>
      </c>
      <c r="BD23" s="73" t="s">
        <v>1769</v>
      </c>
      <c r="BE23" s="57" t="s">
        <v>1486</v>
      </c>
      <c r="BF23" s="57">
        <v>250</v>
      </c>
      <c r="BG23" s="58">
        <v>295.02550000000002</v>
      </c>
      <c r="BH23" s="58">
        <f>IFERROR(Table6[[#This Row],[Redbook WAC price per tablet/capsule (Jul 2020)]]/Table6[[#This Row],[Redbook package strength (mg) (Jul 2020)]], "")</f>
        <v>1.180102</v>
      </c>
      <c r="BI23" s="74" t="s">
        <v>1741</v>
      </c>
      <c r="BJ23" s="57" t="s">
        <v>1769</v>
      </c>
      <c r="BK23" s="57" t="s">
        <v>1486</v>
      </c>
      <c r="BL23" s="57">
        <v>250</v>
      </c>
      <c r="BM23" s="58">
        <v>309.77680800000002</v>
      </c>
      <c r="BN23" s="58">
        <f>IFERROR(Table6[[#This Row],[Redbook WAC price per tablet/capsule (Jan 2021)]]/Table6[[#This Row],[Redbook package strength (mg) (Jan 2021)]], "")</f>
        <v>1.2391072320000001</v>
      </c>
      <c r="BO23" s="57" t="s">
        <v>1741</v>
      </c>
      <c r="BP23" s="73" t="s">
        <v>1769</v>
      </c>
      <c r="BQ23" s="57" t="s">
        <v>1486</v>
      </c>
      <c r="BR23" s="57">
        <v>250</v>
      </c>
      <c r="BS23" s="58">
        <v>309.77680800000002</v>
      </c>
      <c r="BT23" s="58">
        <f>IFERROR(Table6[[#This Row],[Redbook WAC price per tablet/capsule (Jul 2021)]]/Table6[[#This Row],[Redbook package strength (mg) (Jul 2021)]], "")</f>
        <v>1.2391072320000001</v>
      </c>
      <c r="BU23" s="57" t="s">
        <v>1741</v>
      </c>
      <c r="BV23" s="186" t="s">
        <v>1769</v>
      </c>
      <c r="BW23" s="158" t="s">
        <v>1486</v>
      </c>
      <c r="BX23" s="57">
        <v>250</v>
      </c>
      <c r="BY23" s="58">
        <v>326.81</v>
      </c>
      <c r="BZ23" s="58">
        <f>IFERROR(Table6[[#This Row],[Redbook WAC price per tablet/capsule (Jan 2022)]]/Table6[[#This Row],[Redbook package strength (mg) (Jan 2022)]], "")</f>
        <v>1.30724</v>
      </c>
      <c r="CA23" s="74" t="s">
        <v>1741</v>
      </c>
      <c r="CB23" s="57" t="s">
        <v>1769</v>
      </c>
      <c r="CC23" s="57" t="s">
        <v>1486</v>
      </c>
      <c r="CD23" s="57">
        <v>250</v>
      </c>
      <c r="CE23" s="58">
        <v>326.81450000000001</v>
      </c>
      <c r="CF23" s="58">
        <f>IFERROR(Table6[[#This Row],[Redbook WAC price per tablet/capsule (Jul 2022)]]/Table6[[#This Row],[Redbook package strength (mg) (Jul 2022)]], "")</f>
        <v>1.307258</v>
      </c>
      <c r="CG23" s="74" t="s">
        <v>1741</v>
      </c>
      <c r="CH23" s="57" t="s">
        <v>1769</v>
      </c>
      <c r="CI23" s="57" t="s">
        <v>1486</v>
      </c>
      <c r="CJ23" s="57">
        <v>250</v>
      </c>
      <c r="CK23" s="58">
        <v>352.63283000000001</v>
      </c>
      <c r="CL23" s="58">
        <f>IFERROR(Table6[[#This Row],[Redbook WAC price per tablet/capsule (Jan 2023)]]/Table6[[#This Row],[Redbook package strength (mg) (Jan 2023)]], "")</f>
        <v>1.41053132</v>
      </c>
      <c r="CM23" s="57" t="s">
        <v>1741</v>
      </c>
    </row>
    <row r="24" spans="1:92" x14ac:dyDescent="0.3">
      <c r="A24" s="85" t="s">
        <v>41</v>
      </c>
      <c r="B24" s="57"/>
      <c r="C24" s="57"/>
      <c r="D24" s="57"/>
      <c r="E24" s="57"/>
      <c r="F24" s="57" t="str">
        <f>IFERROR(Table6[[#This Row],[Redbook WAC price per tablet/capsule (Jan 2016)]]/Table6[[#This Row],[Redbook package strength (mg) (Jan 2016)]], "")</f>
        <v/>
      </c>
      <c r="G24" s="74"/>
      <c r="H24" s="57"/>
      <c r="I24" s="57"/>
      <c r="J24" s="57"/>
      <c r="K24" s="57"/>
      <c r="L24" s="57" t="str">
        <f>IFERROR(Table6[[#This Row],[Redbook WAC price per tablet/capsule (Jul 2016)]]/Table6[[#This Row],[Redbook package strength (mg) (Jul 2016)]], "")</f>
        <v/>
      </c>
      <c r="M24" s="74"/>
      <c r="N24" s="57"/>
      <c r="O24" s="57"/>
      <c r="P24" s="57"/>
      <c r="Q24" s="57"/>
      <c r="R24" s="57" t="str">
        <f>IFERROR(Table6[[#This Row],[Redbook WAC price per tablet/capsule (Jan 2017)]]/Table6[[#This Row],[Redbook package strength (mg) (Jan 2017)]], "")</f>
        <v/>
      </c>
      <c r="S24" s="74"/>
      <c r="T24" s="57"/>
      <c r="U24" s="57"/>
      <c r="V24" s="57"/>
      <c r="W24" s="284"/>
      <c r="X24" s="284" t="str">
        <f>IFERROR(Table6[[#This Row],[Redbook WAC price per tablet/capsule (Jul 2017)]]/Table6[[#This Row],[Redbook package strength (mg) (Jul 2017)]], "")</f>
        <v/>
      </c>
      <c r="Y24" s="57"/>
      <c r="Z24" s="388"/>
      <c r="AA24" s="389"/>
      <c r="AB24" s="158"/>
      <c r="AC24" s="390"/>
      <c r="AD24" s="390"/>
      <c r="AE24" s="391"/>
      <c r="AF24" s="388"/>
      <c r="AG24" s="389"/>
      <c r="AH24" s="397"/>
      <c r="AI24" s="399"/>
      <c r="AJ24" s="399"/>
      <c r="AK24" s="391"/>
      <c r="AL24" s="57" t="s">
        <v>1794</v>
      </c>
      <c r="AM24" s="57" t="s">
        <v>1498</v>
      </c>
      <c r="AN24" s="57">
        <v>100</v>
      </c>
      <c r="AO24" s="58">
        <v>535.19370000000004</v>
      </c>
      <c r="AP24" s="58">
        <f>IFERROR(Table6[[#This Row],[Redbook WAC price per tablet/capsule (Jan 2019)]]/Table6[[#This Row],[Redbook package strength (mg) (Jan 2019)]], "")</f>
        <v>5.3519370000000004</v>
      </c>
      <c r="AQ24" s="74" t="s">
        <v>1741</v>
      </c>
      <c r="AR24" s="73" t="s">
        <v>1794</v>
      </c>
      <c r="AS24" s="57" t="s">
        <v>1498</v>
      </c>
      <c r="AT24" s="57">
        <v>100</v>
      </c>
      <c r="AU24" s="58">
        <v>535.19370000000004</v>
      </c>
      <c r="AV24" s="58">
        <f>IFERROR(Table6[[#This Row],[Redbook WAC price per tablet/capsule (Jul 2019)]]/Table6[[#This Row],[Redbook package strength (mg) (Jul 2019)]], "")</f>
        <v>5.3519370000000004</v>
      </c>
      <c r="AW24" s="74" t="s">
        <v>1741</v>
      </c>
      <c r="AX24" s="73" t="s">
        <v>1794</v>
      </c>
      <c r="AY24" s="57" t="s">
        <v>1498</v>
      </c>
      <c r="AZ24" s="57">
        <v>100</v>
      </c>
      <c r="BA24" s="59">
        <v>561.95330000000001</v>
      </c>
      <c r="BB24" s="59">
        <f>IFERROR(Table6[[#This Row],[Redbook WAC price per tablet/capsule (Jan 2020)]]/Table6[[#This Row],[Redbook package strength (mg) (Jan 2020)]], "")</f>
        <v>5.6195330000000006</v>
      </c>
      <c r="BC24" t="s">
        <v>1741</v>
      </c>
      <c r="BD24" s="73" t="s">
        <v>1794</v>
      </c>
      <c r="BE24" s="57" t="s">
        <v>1498</v>
      </c>
      <c r="BF24" s="57">
        <v>100</v>
      </c>
      <c r="BG24" s="58">
        <v>561.95330000000001</v>
      </c>
      <c r="BH24" s="58">
        <f>IFERROR(Table6[[#This Row],[Redbook WAC price per tablet/capsule (Jul 2020)]]/Table6[[#This Row],[Redbook package strength (mg) (Jul 2020)]], "")</f>
        <v>5.6195330000000006</v>
      </c>
      <c r="BI24" s="74" t="s">
        <v>1741</v>
      </c>
      <c r="BJ24" s="57" t="s">
        <v>1794</v>
      </c>
      <c r="BK24" s="57" t="s">
        <v>1498</v>
      </c>
      <c r="BL24" s="57">
        <v>100</v>
      </c>
      <c r="BM24" s="58">
        <v>590.051108</v>
      </c>
      <c r="BN24" s="58">
        <f>IFERROR(Table6[[#This Row],[Redbook WAC price per tablet/capsule (Jan 2021)]]/Table6[[#This Row],[Redbook package strength (mg) (Jan 2021)]], "")</f>
        <v>5.9005110800000002</v>
      </c>
      <c r="BO24" s="57" t="s">
        <v>1741</v>
      </c>
      <c r="BP24" s="73" t="s">
        <v>1794</v>
      </c>
      <c r="BQ24" s="57" t="s">
        <v>1498</v>
      </c>
      <c r="BR24" s="57">
        <v>100</v>
      </c>
      <c r="BS24" s="58">
        <v>590.051108</v>
      </c>
      <c r="BT24" s="58">
        <f>IFERROR(Table6[[#This Row],[Redbook WAC price per tablet/capsule (Jul 2021)]]/Table6[[#This Row],[Redbook package strength (mg) (Jul 2021)]], "")</f>
        <v>5.9005110800000002</v>
      </c>
      <c r="BU24" s="57" t="s">
        <v>1741</v>
      </c>
      <c r="BV24" s="186" t="s">
        <v>1794</v>
      </c>
      <c r="BW24" s="158" t="s">
        <v>2066</v>
      </c>
      <c r="BX24" s="57">
        <v>100</v>
      </c>
      <c r="BY24" s="58">
        <v>622.5</v>
      </c>
      <c r="BZ24" s="58">
        <f>IFERROR(Table6[[#This Row],[Redbook WAC price per tablet/capsule (Jan 2022)]]/Table6[[#This Row],[Redbook package strength (mg) (Jan 2022)]], "")</f>
        <v>6.2249999999999996</v>
      </c>
      <c r="CA24" s="74" t="s">
        <v>1741</v>
      </c>
      <c r="CB24" s="57" t="s">
        <v>1794</v>
      </c>
      <c r="CC24" s="57" t="s">
        <v>1498</v>
      </c>
      <c r="CD24" s="57">
        <v>100</v>
      </c>
      <c r="CE24" s="58">
        <v>622.50367000000006</v>
      </c>
      <c r="CF24" s="58">
        <f>IFERROR(Table6[[#This Row],[Redbook WAC price per tablet/capsule (Jul 2022)]]/Table6[[#This Row],[Redbook package strength (mg) (Jul 2022)]], "")</f>
        <v>6.2250367000000004</v>
      </c>
      <c r="CG24" s="74" t="s">
        <v>1741</v>
      </c>
      <c r="CH24" s="57" t="s">
        <v>1794</v>
      </c>
      <c r="CI24" s="57" t="s">
        <v>1498</v>
      </c>
      <c r="CJ24" s="57">
        <v>100</v>
      </c>
      <c r="CK24" s="58">
        <v>671.68133</v>
      </c>
      <c r="CL24" s="58">
        <f>IFERROR(Table6[[#This Row],[Redbook WAC price per tablet/capsule (Jan 2023)]]/Table6[[#This Row],[Redbook package strength (mg) (Jan 2023)]], "")</f>
        <v>6.7168133000000001</v>
      </c>
      <c r="CM24" s="57" t="s">
        <v>1741</v>
      </c>
    </row>
    <row r="25" spans="1:92" x14ac:dyDescent="0.3">
      <c r="A25" s="91" t="s">
        <v>42</v>
      </c>
      <c r="B25" s="342" t="s">
        <v>2662</v>
      </c>
      <c r="C25" s="57" t="s">
        <v>1487</v>
      </c>
      <c r="D25" s="57">
        <v>75</v>
      </c>
      <c r="E25" s="57">
        <v>73.316249999999997</v>
      </c>
      <c r="F25" s="57">
        <f>IFERROR(Table6[[#This Row],[Redbook WAC price per tablet/capsule (Jan 2016)]]/Table6[[#This Row],[Redbook package strength (mg) (Jan 2016)]], "")</f>
        <v>0.97754999999999992</v>
      </c>
      <c r="G25" s="74" t="s">
        <v>1741</v>
      </c>
      <c r="H25" s="57" t="s">
        <v>1770</v>
      </c>
      <c r="I25" s="57" t="s">
        <v>1487</v>
      </c>
      <c r="J25" s="57">
        <v>75</v>
      </c>
      <c r="K25" s="57">
        <v>78.081808333300003</v>
      </c>
      <c r="L25" s="57">
        <f>IFERROR(Table6[[#This Row],[Redbook WAC price per tablet/capsule (Jul 2016)]]/Table6[[#This Row],[Redbook package strength (mg) (Jul 2016)]], "")</f>
        <v>1.0410907777773333</v>
      </c>
      <c r="M25" s="74" t="s">
        <v>1741</v>
      </c>
      <c r="N25" s="57" t="s">
        <v>1770</v>
      </c>
      <c r="O25" s="57" t="s">
        <v>1487</v>
      </c>
      <c r="P25" s="57">
        <v>75</v>
      </c>
      <c r="Q25" s="57">
        <v>78.081808333300003</v>
      </c>
      <c r="R25" s="57">
        <f>IFERROR(Table6[[#This Row],[Redbook WAC price per tablet/capsule (Jan 2017)]]/Table6[[#This Row],[Redbook package strength (mg) (Jan 2017)]], "")</f>
        <v>1.0410907777773333</v>
      </c>
      <c r="S25" s="74" t="s">
        <v>1741</v>
      </c>
      <c r="T25" s="57" t="s">
        <v>1770</v>
      </c>
      <c r="U25" s="57" t="s">
        <v>1487</v>
      </c>
      <c r="V25" s="57">
        <v>75</v>
      </c>
      <c r="W25" s="284">
        <f>(96.50908/1.2)</f>
        <v>80.424233333333333</v>
      </c>
      <c r="X25" s="284">
        <f>IFERROR(Table6[[#This Row],[Redbook WAC price per tablet/capsule (Jul 2017)]]/Table6[[#This Row],[Redbook package strength (mg) (Jul 2017)]], "")</f>
        <v>1.0723231111111111</v>
      </c>
      <c r="Y25" s="57" t="s">
        <v>1741</v>
      </c>
      <c r="Z25" s="388" t="s">
        <v>1770</v>
      </c>
      <c r="AA25" s="389" t="s">
        <v>1487</v>
      </c>
      <c r="AB25" s="158">
        <v>75</v>
      </c>
      <c r="AC25" s="390">
        <v>80.424233333333333</v>
      </c>
      <c r="AD25" s="390">
        <f>Table6[[#This Row],[Redbook WAC price per tablet/capsule (Jan 2018)]]/Table6[[#This Row],[Redbook package strength (mg) (Jan 2018)]]</f>
        <v>1.0723231111111111</v>
      </c>
      <c r="AE25" s="391" t="s">
        <v>1741</v>
      </c>
      <c r="AF25" s="388" t="s">
        <v>1770</v>
      </c>
      <c r="AG25" s="389" t="s">
        <v>1487</v>
      </c>
      <c r="AH25" s="397">
        <v>75</v>
      </c>
      <c r="AI25" s="399">
        <v>82.756600000000006</v>
      </c>
      <c r="AJ25" s="399">
        <f>Table6[[#This Row],[Redbook WAC price per tablet/capsule (Jul 2018)]]/Table6[[#This Row],[Redbook package strength (mg) (Jul 2018)]]</f>
        <v>1.1034213333333334</v>
      </c>
      <c r="AK25" s="391" t="s">
        <v>1741</v>
      </c>
      <c r="AL25" s="57" t="s">
        <v>1770</v>
      </c>
      <c r="AM25" s="57" t="s">
        <v>1487</v>
      </c>
      <c r="AN25" s="57">
        <v>75</v>
      </c>
      <c r="AO25" s="58">
        <v>82.756600000000006</v>
      </c>
      <c r="AP25" s="58">
        <f>IFERROR(Table6[[#This Row],[Redbook WAC price per tablet/capsule (Jan 2019)]]/Table6[[#This Row],[Redbook package strength (mg) (Jan 2019)]], "")</f>
        <v>1.1034213333333334</v>
      </c>
      <c r="AQ25" s="74" t="s">
        <v>1741</v>
      </c>
      <c r="AR25" s="73" t="s">
        <v>1770</v>
      </c>
      <c r="AS25" s="57" t="s">
        <v>1487</v>
      </c>
      <c r="AT25" s="57">
        <v>75</v>
      </c>
      <c r="AU25" s="58">
        <v>86.894400000000005</v>
      </c>
      <c r="AV25" s="58">
        <f>IFERROR(Table6[[#This Row],[Redbook WAC price per tablet/capsule (Jul 2019)]]/Table6[[#This Row],[Redbook package strength (mg) (Jul 2019)]], "")</f>
        <v>1.1585920000000001</v>
      </c>
      <c r="AW25" s="74" t="s">
        <v>1741</v>
      </c>
      <c r="AX25" s="73" t="s">
        <v>1770</v>
      </c>
      <c r="AY25" s="57" t="s">
        <v>1487</v>
      </c>
      <c r="AZ25" s="57">
        <v>75</v>
      </c>
      <c r="BA25" s="59">
        <v>86.894400000000005</v>
      </c>
      <c r="BB25" s="59">
        <f>IFERROR(Table6[[#This Row],[Redbook WAC price per tablet/capsule (Jan 2020)]]/Table6[[#This Row],[Redbook package strength (mg) (Jan 2020)]], "")</f>
        <v>1.1585920000000001</v>
      </c>
      <c r="BC25" t="s">
        <v>1741</v>
      </c>
      <c r="BD25" s="73" t="s">
        <v>1770</v>
      </c>
      <c r="BE25" s="57" t="s">
        <v>1487</v>
      </c>
      <c r="BF25" s="57">
        <v>75</v>
      </c>
      <c r="BG25" s="58">
        <v>91.673599999999993</v>
      </c>
      <c r="BH25" s="58">
        <f>IFERROR(Table6[[#This Row],[Redbook WAC price per tablet/capsule (Jul 2020)]]/Table6[[#This Row],[Redbook package strength (mg) (Jul 2020)]], "")</f>
        <v>1.2223146666666667</v>
      </c>
      <c r="BI25" s="74" t="s">
        <v>1741</v>
      </c>
      <c r="BJ25" s="57" t="s">
        <v>1770</v>
      </c>
      <c r="BK25" s="57" t="s">
        <v>1487</v>
      </c>
      <c r="BL25" s="57">
        <v>75</v>
      </c>
      <c r="BM25" s="58">
        <v>91.673599999999993</v>
      </c>
      <c r="BN25" s="58">
        <f>IFERROR(Table6[[#This Row],[Redbook WAC price per tablet/capsule (Jan 2021)]]/Table6[[#This Row],[Redbook package strength (mg) (Jan 2021)]], "")</f>
        <v>1.2223146666666667</v>
      </c>
      <c r="BO25" s="57" t="s">
        <v>1741</v>
      </c>
      <c r="BP25" s="73" t="s">
        <v>1770</v>
      </c>
      <c r="BQ25" s="57" t="s">
        <v>1487</v>
      </c>
      <c r="BR25" s="57">
        <v>75</v>
      </c>
      <c r="BS25" s="58">
        <v>96.715689999999995</v>
      </c>
      <c r="BT25" s="58">
        <f>IFERROR(Table6[[#This Row],[Redbook WAC price per tablet/capsule (Jul 2021)]]/Table6[[#This Row],[Redbook package strength (mg) (Jul 2021)]], "")</f>
        <v>1.2895425333333332</v>
      </c>
      <c r="BU25" s="57" t="s">
        <v>1741</v>
      </c>
      <c r="BV25" s="186" t="s">
        <v>1770</v>
      </c>
      <c r="BW25" s="158" t="s">
        <v>1487</v>
      </c>
      <c r="BX25" s="57">
        <v>75</v>
      </c>
      <c r="BY25" s="58">
        <v>96.72</v>
      </c>
      <c r="BZ25" s="58">
        <f>IFERROR(Table6[[#This Row],[Redbook WAC price per tablet/capsule (Jan 2022)]]/Table6[[#This Row],[Redbook package strength (mg) (Jan 2022)]], "")</f>
        <v>1.2896000000000001</v>
      </c>
      <c r="CA25" s="74" t="s">
        <v>1741</v>
      </c>
      <c r="CB25" s="57" t="s">
        <v>1770</v>
      </c>
      <c r="CC25" s="57" t="s">
        <v>1487</v>
      </c>
      <c r="CD25" s="57">
        <v>75</v>
      </c>
      <c r="CE25" s="58">
        <v>102.035</v>
      </c>
      <c r="CF25" s="247">
        <f>IFERROR(Table6[[#This Row],[Redbook WAC price per tablet/capsule (Jul 2022)]]/Table6[[#This Row],[Redbook package strength (mg) (Jul 2022)]], "")</f>
        <v>1.3604666666666667</v>
      </c>
      <c r="CG25" s="74" t="s">
        <v>1741</v>
      </c>
      <c r="CH25" s="57" t="s">
        <v>1770</v>
      </c>
      <c r="CI25" s="57" t="s">
        <v>1487</v>
      </c>
      <c r="CJ25" s="57">
        <v>75</v>
      </c>
      <c r="CK25" s="58">
        <v>112.40175000000001</v>
      </c>
      <c r="CL25" s="58">
        <f>IFERROR(Table6[[#This Row],[Redbook WAC price per tablet/capsule (Jan 2023)]]/Table6[[#This Row],[Redbook package strength (mg) (Jan 2023)]], "")</f>
        <v>1.4986900000000001</v>
      </c>
      <c r="CM25" s="57" t="s">
        <v>1741</v>
      </c>
    </row>
    <row r="26" spans="1:92" x14ac:dyDescent="0.3">
      <c r="A26" s="85" t="s">
        <v>43</v>
      </c>
      <c r="B26" s="57" t="s">
        <v>1771</v>
      </c>
      <c r="C26" s="57" t="s">
        <v>1488</v>
      </c>
      <c r="D26" s="57">
        <v>240</v>
      </c>
      <c r="E26" s="57">
        <v>45.211683333300002</v>
      </c>
      <c r="F26" s="57">
        <f>IFERROR(Table6[[#This Row],[Redbook WAC price per tablet/capsule (Jan 2016)]]/Table6[[#This Row],[Redbook package strength (mg) (Jan 2016)]], "")</f>
        <v>0.18838201388875001</v>
      </c>
      <c r="G26" s="74" t="s">
        <v>1741</v>
      </c>
      <c r="H26" s="57" t="s">
        <v>1771</v>
      </c>
      <c r="I26" s="57" t="s">
        <v>1488</v>
      </c>
      <c r="J26" s="57">
        <v>240</v>
      </c>
      <c r="K26" s="57">
        <v>45.211683333300002</v>
      </c>
      <c r="L26" s="57">
        <f>IFERROR(Table6[[#This Row],[Redbook WAC price per tablet/capsule (Jul 2016)]]/Table6[[#This Row],[Redbook package strength (mg) (Jul 2016)]], "")</f>
        <v>0.18838201388875001</v>
      </c>
      <c r="M26" s="74" t="s">
        <v>1741</v>
      </c>
      <c r="N26" s="57" t="s">
        <v>1771</v>
      </c>
      <c r="O26" s="57" t="s">
        <v>1488</v>
      </c>
      <c r="P26" s="57">
        <v>240</v>
      </c>
      <c r="Q26" s="57">
        <v>45.211683333300002</v>
      </c>
      <c r="R26" s="57">
        <f>IFERROR(Table6[[#This Row],[Redbook WAC price per tablet/capsule (Jan 2017)]]/Table6[[#This Row],[Redbook package strength (mg) (Jan 2017)]], "")</f>
        <v>0.18838201388875001</v>
      </c>
      <c r="S26" s="74" t="s">
        <v>1741</v>
      </c>
      <c r="T26" s="57" t="s">
        <v>1771</v>
      </c>
      <c r="U26" s="57" t="s">
        <v>1488</v>
      </c>
      <c r="V26" s="57">
        <v>240</v>
      </c>
      <c r="W26" s="284">
        <f>(54.25402/1.2)</f>
        <v>45.211683333333333</v>
      </c>
      <c r="X26" s="284">
        <f>IFERROR(Table6[[#This Row],[Redbook WAC price per tablet/capsule (Jul 2017)]]/Table6[[#This Row],[Redbook package strength (mg) (Jul 2017)]], "")</f>
        <v>0.18838201388888889</v>
      </c>
      <c r="Y26" s="57" t="s">
        <v>1741</v>
      </c>
      <c r="Z26" s="388" t="s">
        <v>1771</v>
      </c>
      <c r="AA26" s="389" t="s">
        <v>1488</v>
      </c>
      <c r="AB26" s="158">
        <v>240</v>
      </c>
      <c r="AC26" s="390">
        <v>45.211683333333333</v>
      </c>
      <c r="AD26" s="390">
        <f>Table6[[#This Row],[Redbook WAC price per tablet/capsule (Jan 2018)]]/Table6[[#This Row],[Redbook package strength (mg) (Jan 2018)]]</f>
        <v>0.18838201388888889</v>
      </c>
      <c r="AE26" s="391" t="s">
        <v>1741</v>
      </c>
      <c r="AF26" s="388" t="s">
        <v>1771</v>
      </c>
      <c r="AG26" s="389" t="s">
        <v>1488</v>
      </c>
      <c r="AH26" s="397">
        <v>240</v>
      </c>
      <c r="AI26" s="399">
        <v>45.211683333333333</v>
      </c>
      <c r="AJ26" s="399">
        <f>Table6[[#This Row],[Redbook WAC price per tablet/capsule (Jul 2018)]]/Table6[[#This Row],[Redbook package strength (mg) (Jul 2018)]]</f>
        <v>0.18838201388888889</v>
      </c>
      <c r="AK26" s="391" t="s">
        <v>1741</v>
      </c>
      <c r="AL26" s="57" t="s">
        <v>1771</v>
      </c>
      <c r="AM26" s="57" t="s">
        <v>1488</v>
      </c>
      <c r="AN26" s="57">
        <v>240</v>
      </c>
      <c r="AO26" s="58">
        <v>45.2117</v>
      </c>
      <c r="AP26" s="58">
        <f>IFERROR(Table6[[#This Row],[Redbook WAC price per tablet/capsule (Jan 2019)]]/Table6[[#This Row],[Redbook package strength (mg) (Jan 2019)]], "")</f>
        <v>0.18838208333333334</v>
      </c>
      <c r="AQ26" s="74" t="s">
        <v>1741</v>
      </c>
      <c r="AR26" s="73" t="s">
        <v>1771</v>
      </c>
      <c r="AS26" s="57" t="s">
        <v>1488</v>
      </c>
      <c r="AT26" s="57">
        <v>240</v>
      </c>
      <c r="AU26" s="58">
        <v>45.2117</v>
      </c>
      <c r="AV26" s="58">
        <f>IFERROR(Table6[[#This Row],[Redbook WAC price per tablet/capsule (Jul 2019)]]/Table6[[#This Row],[Redbook package strength (mg) (Jul 2019)]], "")</f>
        <v>0.18838208333333334</v>
      </c>
      <c r="AW26" s="74" t="s">
        <v>1741</v>
      </c>
      <c r="AX26" s="73" t="s">
        <v>1771</v>
      </c>
      <c r="AY26" s="57" t="s">
        <v>1488</v>
      </c>
      <c r="AZ26" s="57">
        <v>240</v>
      </c>
      <c r="BA26" s="59">
        <v>45.2117</v>
      </c>
      <c r="BB26" s="59">
        <f>IFERROR(Table6[[#This Row],[Redbook WAC price per tablet/capsule (Jan 2020)]]/Table6[[#This Row],[Redbook package strength (mg) (Jan 2020)]], "")</f>
        <v>0.18838208333333334</v>
      </c>
      <c r="BC26" t="s">
        <v>1741</v>
      </c>
      <c r="BD26" s="73" t="s">
        <v>1771</v>
      </c>
      <c r="BE26" s="57" t="s">
        <v>1488</v>
      </c>
      <c r="BF26" s="57">
        <v>240</v>
      </c>
      <c r="BG26" s="58">
        <v>45.2117</v>
      </c>
      <c r="BH26" s="58">
        <f>IFERROR(Table6[[#This Row],[Redbook WAC price per tablet/capsule (Jul 2020)]]/Table6[[#This Row],[Redbook package strength (mg) (Jul 2020)]], "")</f>
        <v>0.18838208333333334</v>
      </c>
      <c r="BI26" s="74" t="s">
        <v>1741</v>
      </c>
      <c r="BJ26" s="57" t="s">
        <v>1771</v>
      </c>
      <c r="BK26" s="57" t="s">
        <v>1488</v>
      </c>
      <c r="BL26" s="57">
        <v>240</v>
      </c>
      <c r="BM26" s="58">
        <v>45.2117</v>
      </c>
      <c r="BN26" s="58">
        <f>IFERROR(Table6[[#This Row],[Redbook WAC price per tablet/capsule (Jan 2021)]]/Table6[[#This Row],[Redbook package strength (mg) (Jan 2021)]], "")</f>
        <v>0.18838208333333334</v>
      </c>
      <c r="BO26" s="57" t="s">
        <v>1741</v>
      </c>
      <c r="BP26" s="73" t="s">
        <v>1771</v>
      </c>
      <c r="BQ26" s="57" t="s">
        <v>1488</v>
      </c>
      <c r="BR26" s="57">
        <v>240</v>
      </c>
      <c r="BS26" s="58">
        <v>45.2117</v>
      </c>
      <c r="BT26" s="58">
        <f>IFERROR(Table6[[#This Row],[Redbook WAC price per tablet/capsule (Jul 2021)]]/Table6[[#This Row],[Redbook package strength (mg) (Jul 2021)]], "")</f>
        <v>0.18838208333333334</v>
      </c>
      <c r="BU26" s="57" t="s">
        <v>1741</v>
      </c>
      <c r="BV26" s="186" t="s">
        <v>1771</v>
      </c>
      <c r="BW26" s="158" t="s">
        <v>1488</v>
      </c>
      <c r="BX26" s="57">
        <v>240</v>
      </c>
      <c r="BY26" s="58">
        <v>45.21</v>
      </c>
      <c r="BZ26" s="58">
        <f>IFERROR(Table6[[#This Row],[Redbook WAC price per tablet/capsule (Jan 2022)]]/Table6[[#This Row],[Redbook package strength (mg) (Jan 2022)]], "")</f>
        <v>0.18837500000000001</v>
      </c>
      <c r="CA26" s="74" t="s">
        <v>1741</v>
      </c>
      <c r="CB26" s="57" t="s">
        <v>1771</v>
      </c>
      <c r="CC26" s="57" t="s">
        <v>1488</v>
      </c>
      <c r="CD26" s="57">
        <v>240</v>
      </c>
      <c r="CE26" s="58">
        <v>47.472320000000003</v>
      </c>
      <c r="CF26" s="247">
        <f>IFERROR(Table6[[#This Row],[Redbook WAC price per tablet/capsule (Jul 2022)]]/Table6[[#This Row],[Redbook package strength (mg) (Jul 2022)]], "")</f>
        <v>0.19780133333333336</v>
      </c>
      <c r="CG26" s="74" t="s">
        <v>1741</v>
      </c>
      <c r="CH26" s="57" t="s">
        <v>1771</v>
      </c>
      <c r="CI26" s="57" t="s">
        <v>1488</v>
      </c>
      <c r="CJ26" s="57">
        <v>240</v>
      </c>
      <c r="CK26" s="58">
        <v>49.60857</v>
      </c>
      <c r="CL26" s="58">
        <f>IFERROR(Table6[[#This Row],[Redbook WAC price per tablet/capsule (Jan 2023)]]/Table6[[#This Row],[Redbook package strength (mg) (Jan 2023)]], "")</f>
        <v>0.20670237499999999</v>
      </c>
      <c r="CM26" s="57" t="s">
        <v>1741</v>
      </c>
    </row>
    <row r="27" spans="1:92" x14ac:dyDescent="0.3">
      <c r="A27" s="138" t="s">
        <v>44</v>
      </c>
      <c r="B27" s="57"/>
      <c r="C27" s="57"/>
      <c r="D27" s="57"/>
      <c r="E27" s="57"/>
      <c r="F27" s="57" t="str">
        <f>IFERROR(Table6[[#This Row],[Redbook WAC price per tablet/capsule (Jan 2016)]]/Table6[[#This Row],[Redbook package strength (mg) (Jan 2016)]], "")</f>
        <v/>
      </c>
      <c r="G27" s="74"/>
      <c r="H27" s="57"/>
      <c r="I27" s="57"/>
      <c r="J27" s="57"/>
      <c r="K27" s="57"/>
      <c r="L27" s="57" t="str">
        <f>IFERROR(Table6[[#This Row],[Redbook WAC price per tablet/capsule (Jul 2016)]]/Table6[[#This Row],[Redbook package strength (mg) (Jul 2016)]], "")</f>
        <v/>
      </c>
      <c r="M27" s="74"/>
      <c r="N27" s="57"/>
      <c r="O27" s="57"/>
      <c r="P27" s="57"/>
      <c r="Q27" s="57"/>
      <c r="R27" s="57" t="str">
        <f>IFERROR(Table6[[#This Row],[Redbook WAC price per tablet/capsule (Jan 2017)]]/Table6[[#This Row],[Redbook package strength (mg) (Jan 2017)]], "")</f>
        <v/>
      </c>
      <c r="S27" s="74"/>
      <c r="T27" s="57"/>
      <c r="U27" s="57"/>
      <c r="V27" s="57"/>
      <c r="W27" s="284"/>
      <c r="X27" s="284" t="str">
        <f>IFERROR(Table6[[#This Row],[Redbook WAC price per tablet/capsule (Jul 2017)]]/Table6[[#This Row],[Redbook package strength (mg) (Jul 2017)]], "")</f>
        <v/>
      </c>
      <c r="Y27" s="57"/>
      <c r="Z27" s="388"/>
      <c r="AA27" s="389"/>
      <c r="AB27" s="158"/>
      <c r="AC27" s="390"/>
      <c r="AD27" s="390"/>
      <c r="AE27" s="391"/>
      <c r="AF27" s="388"/>
      <c r="AG27" s="389"/>
      <c r="AH27" s="397"/>
      <c r="AI27" s="399"/>
      <c r="AJ27" s="399"/>
      <c r="AK27" s="391"/>
      <c r="AL27" s="57" t="s">
        <v>1799</v>
      </c>
      <c r="AM27" s="57" t="s">
        <v>1719</v>
      </c>
      <c r="AN27" s="57">
        <v>100</v>
      </c>
      <c r="AO27" s="58">
        <v>546.66666999999995</v>
      </c>
      <c r="AP27" s="58">
        <f>IFERROR(Table6[[#This Row],[Redbook WAC price per tablet/capsule (Jan 2019)]]/Table6[[#This Row],[Redbook package strength (mg) (Jan 2019)]], "")</f>
        <v>5.4666666999999993</v>
      </c>
      <c r="AQ27" s="74" t="s">
        <v>1741</v>
      </c>
      <c r="AR27" s="73" t="s">
        <v>1799</v>
      </c>
      <c r="AS27" s="57" t="s">
        <v>1719</v>
      </c>
      <c r="AT27" s="57">
        <v>100</v>
      </c>
      <c r="AU27" s="58">
        <v>546.66666999999995</v>
      </c>
      <c r="AV27" s="58">
        <f>IFERROR(Table6[[#This Row],[Redbook WAC price per tablet/capsule (Jul 2019)]]/Table6[[#This Row],[Redbook package strength (mg) (Jul 2019)]], "")</f>
        <v>5.4666666999999993</v>
      </c>
      <c r="AW27" s="74" t="s">
        <v>1741</v>
      </c>
      <c r="AX27" s="73" t="s">
        <v>2057</v>
      </c>
      <c r="AY27" s="57" t="s">
        <v>1719</v>
      </c>
      <c r="AZ27" s="57">
        <v>100</v>
      </c>
      <c r="BA27" s="59">
        <v>546.66666999999995</v>
      </c>
      <c r="BB27" s="59">
        <f>IFERROR(Table6[[#This Row],[Redbook WAC price per tablet/capsule (Jan 2020)]]/Table6[[#This Row],[Redbook package strength (mg) (Jan 2020)]], "")</f>
        <v>5.4666666999999993</v>
      </c>
      <c r="BC27" t="s">
        <v>1741</v>
      </c>
      <c r="BD27" s="73" t="s">
        <v>2057</v>
      </c>
      <c r="BE27" s="57" t="s">
        <v>1719</v>
      </c>
      <c r="BF27" s="57">
        <v>100</v>
      </c>
      <c r="BG27" s="58">
        <v>546.66666999999995</v>
      </c>
      <c r="BH27" s="58">
        <f>IFERROR(Table6[[#This Row],[Redbook WAC price per tablet/capsule (Jul 2020)]]/Table6[[#This Row],[Redbook package strength (mg) (Jul 2020)]], "")</f>
        <v>5.4666666999999993</v>
      </c>
      <c r="BI27" s="74" t="s">
        <v>1741</v>
      </c>
      <c r="BJ27" s="57" t="s">
        <v>2057</v>
      </c>
      <c r="BK27" s="57" t="s">
        <v>1719</v>
      </c>
      <c r="BL27" s="57">
        <v>100</v>
      </c>
      <c r="BM27" s="58">
        <v>546.66666999999995</v>
      </c>
      <c r="BN27" s="58">
        <f>IFERROR(Table6[[#This Row],[Redbook WAC price per tablet/capsule (Jan 2021)]]/Table6[[#This Row],[Redbook package strength (mg) (Jan 2021)]], "")</f>
        <v>5.4666666999999993</v>
      </c>
      <c r="BO27" s="57" t="s">
        <v>1741</v>
      </c>
      <c r="BP27" s="73" t="s">
        <v>2057</v>
      </c>
      <c r="BQ27" s="57" t="s">
        <v>1719</v>
      </c>
      <c r="BR27" s="57">
        <v>100</v>
      </c>
      <c r="BS27" s="58">
        <v>546.66666999999995</v>
      </c>
      <c r="BT27" s="58">
        <f>IFERROR(Table6[[#This Row],[Redbook WAC price per tablet/capsule (Jul 2021)]]/Table6[[#This Row],[Redbook package strength (mg) (Jul 2021)]], "")</f>
        <v>5.4666666999999993</v>
      </c>
      <c r="BU27" s="57" t="s">
        <v>1741</v>
      </c>
      <c r="BV27" s="186" t="s">
        <v>1799</v>
      </c>
      <c r="BW27" s="158" t="s">
        <v>1719</v>
      </c>
      <c r="BX27" s="57">
        <v>100</v>
      </c>
      <c r="BY27" s="58">
        <v>546.66666999999995</v>
      </c>
      <c r="BZ27" s="58">
        <f>IFERROR(Table6[[#This Row],[Redbook WAC price per tablet/capsule (Jan 2022)]]/Table6[[#This Row],[Redbook package strength (mg) (Jan 2022)]], "")</f>
        <v>5.4666666999999993</v>
      </c>
      <c r="CA27" s="74" t="s">
        <v>1741</v>
      </c>
      <c r="CB27" s="57" t="s">
        <v>1799</v>
      </c>
      <c r="CC27" s="57" t="s">
        <v>1719</v>
      </c>
      <c r="CD27" s="57">
        <v>100</v>
      </c>
      <c r="CE27" s="58">
        <v>546.66666999999995</v>
      </c>
      <c r="CF27" s="58">
        <f>IFERROR(Table6[[#This Row],[Redbook WAC price per tablet/capsule (Jul 2022)]]/Table6[[#This Row],[Redbook package strength (mg) (Jul 2022)]], "")</f>
        <v>5.4666666999999993</v>
      </c>
      <c r="CG27" s="74" t="s">
        <v>1741</v>
      </c>
      <c r="CH27" s="57" t="s">
        <v>1799</v>
      </c>
      <c r="CI27" s="57" t="s">
        <v>1719</v>
      </c>
      <c r="CJ27" s="57">
        <v>100</v>
      </c>
      <c r="CK27" s="58">
        <v>546.66666999999995</v>
      </c>
      <c r="CL27" s="58">
        <f>IFERROR(Table6[[#This Row],[Redbook WAC price per tablet/capsule (Jan 2023)]]/Table6[[#This Row],[Redbook package strength (mg) (Jan 2023)]], "")</f>
        <v>5.4666666999999993</v>
      </c>
      <c r="CM27" s="57" t="s">
        <v>1741</v>
      </c>
    </row>
    <row r="28" spans="1:92" x14ac:dyDescent="0.3">
      <c r="A28" s="85" t="s">
        <v>51</v>
      </c>
      <c r="B28" s="158"/>
      <c r="C28" s="158"/>
      <c r="D28" s="158"/>
      <c r="E28" s="158"/>
      <c r="F28" s="158" t="str">
        <f>IFERROR(Table6[[#This Row],[Redbook WAC price per tablet/capsule (Jan 2016)]]/Table6[[#This Row],[Redbook package strength (mg) (Jan 2016)]], "")</f>
        <v/>
      </c>
      <c r="G28" s="191"/>
      <c r="H28" s="158"/>
      <c r="I28" s="158"/>
      <c r="J28" s="158"/>
      <c r="K28" s="158"/>
      <c r="L28" s="57" t="str">
        <f>IFERROR(Table6[[#This Row],[Redbook WAC price per tablet/capsule (Jul 2016)]]/Table6[[#This Row],[Redbook package strength (mg) (Jul 2016)]], "")</f>
        <v/>
      </c>
      <c r="M28" s="191"/>
      <c r="N28" s="158"/>
      <c r="O28" s="158"/>
      <c r="P28" s="158"/>
      <c r="Q28" s="158"/>
      <c r="R28" s="57" t="str">
        <f>IFERROR(Table6[[#This Row],[Redbook WAC price per tablet/capsule (Jan 2017)]]/Table6[[#This Row],[Redbook package strength (mg) (Jan 2017)]], "")</f>
        <v/>
      </c>
      <c r="S28" s="191"/>
      <c r="T28" s="158"/>
      <c r="U28" s="57"/>
      <c r="V28" s="57"/>
      <c r="W28" s="284"/>
      <c r="X28" s="284" t="str">
        <f>IFERROR(Table6[[#This Row],[Redbook WAC price per tablet/capsule (Jul 2017)]]/Table6[[#This Row],[Redbook package strength (mg) (Jul 2017)]], "")</f>
        <v/>
      </c>
      <c r="Y28" s="57"/>
      <c r="Z28" s="388"/>
      <c r="AA28" s="389"/>
      <c r="AB28" s="158"/>
      <c r="AC28" s="390"/>
      <c r="AD28" s="390"/>
      <c r="AE28" s="391"/>
      <c r="AF28" s="388"/>
      <c r="AG28" s="389"/>
      <c r="AH28" s="397"/>
      <c r="AI28" s="399"/>
      <c r="AJ28" s="399"/>
      <c r="AK28" s="391"/>
      <c r="AL28" s="57" t="s">
        <v>1772</v>
      </c>
      <c r="AM28" s="57" t="s">
        <v>1489</v>
      </c>
      <c r="AN28" s="57">
        <v>60</v>
      </c>
      <c r="AO28" s="58">
        <v>91</v>
      </c>
      <c r="AP28" s="58">
        <f>IFERROR(Table6[[#This Row],[Redbook WAC price per tablet/capsule (Jan 2019)]]/Table6[[#This Row],[Redbook package strength (mg) (Jan 2019)]], "")</f>
        <v>1.5166666666666666</v>
      </c>
      <c r="AQ28" s="74" t="s">
        <v>1741</v>
      </c>
      <c r="AR28" s="73" t="s">
        <v>1772</v>
      </c>
      <c r="AS28" s="57" t="s">
        <v>1489</v>
      </c>
      <c r="AT28" s="57">
        <v>60</v>
      </c>
      <c r="AU28" s="58">
        <v>97.278999999999996</v>
      </c>
      <c r="AV28" s="58">
        <f>IFERROR(Table6[[#This Row],[Redbook WAC price per tablet/capsule (Jul 2019)]]/Table6[[#This Row],[Redbook package strength (mg) (Jul 2019)]], "")</f>
        <v>1.6213166666666665</v>
      </c>
      <c r="AW28" s="74" t="s">
        <v>1741</v>
      </c>
      <c r="AX28" s="73" t="s">
        <v>1772</v>
      </c>
      <c r="AY28" s="57" t="s">
        <v>1489</v>
      </c>
      <c r="AZ28" s="57">
        <v>60</v>
      </c>
      <c r="BA28" s="59">
        <v>97.278999999999996</v>
      </c>
      <c r="BB28" s="59">
        <f>IFERROR(Table6[[#This Row],[Redbook WAC price per tablet/capsule (Jan 2020)]]/Table6[[#This Row],[Redbook package strength (mg) (Jan 2020)]], "")</f>
        <v>1.6213166666666665</v>
      </c>
      <c r="BC28" t="s">
        <v>1741</v>
      </c>
      <c r="BD28" s="73" t="s">
        <v>1772</v>
      </c>
      <c r="BE28" s="57" t="s">
        <v>1489</v>
      </c>
      <c r="BF28" s="57">
        <v>60</v>
      </c>
      <c r="BG28" s="58">
        <v>102.0457</v>
      </c>
      <c r="BH28" s="58">
        <f>IFERROR(Table6[[#This Row],[Redbook WAC price per tablet/capsule (Jul 2020)]]/Table6[[#This Row],[Redbook package strength (mg) (Jul 2020)]], "")</f>
        <v>1.7007616666666665</v>
      </c>
      <c r="BI28" s="74" t="s">
        <v>1741</v>
      </c>
      <c r="BJ28" s="57" t="s">
        <v>1772</v>
      </c>
      <c r="BK28" s="57" t="s">
        <v>1489</v>
      </c>
      <c r="BL28" s="57">
        <v>60</v>
      </c>
      <c r="BM28" s="58">
        <v>102.0457</v>
      </c>
      <c r="BN28" s="58">
        <f>IFERROR(Table6[[#This Row],[Redbook WAC price per tablet/capsule (Jan 2021)]]/Table6[[#This Row],[Redbook package strength (mg) (Jan 2021)]], "")</f>
        <v>1.7007616666666665</v>
      </c>
      <c r="BO28" s="57" t="s">
        <v>1741</v>
      </c>
      <c r="BP28" s="73" t="s">
        <v>1772</v>
      </c>
      <c r="BQ28" s="57" t="s">
        <v>1489</v>
      </c>
      <c r="BR28" s="57">
        <v>60</v>
      </c>
      <c r="BS28" s="58">
        <v>106.94382</v>
      </c>
      <c r="BT28" s="58">
        <f>IFERROR(Table6[[#This Row],[Redbook WAC price per tablet/capsule (Jul 2021)]]/Table6[[#This Row],[Redbook package strength (mg) (Jul 2021)]], "")</f>
        <v>1.782397</v>
      </c>
      <c r="BU28" s="57" t="s">
        <v>1741</v>
      </c>
      <c r="BV28" s="186" t="s">
        <v>1772</v>
      </c>
      <c r="BW28" s="158" t="s">
        <v>1489</v>
      </c>
      <c r="BX28" s="57">
        <v>60</v>
      </c>
      <c r="BY28" s="58">
        <v>106.94</v>
      </c>
      <c r="BZ28" s="58">
        <f>IFERROR(Table6[[#This Row],[Redbook WAC price per tablet/capsule (Jan 2022)]]/Table6[[#This Row],[Redbook package strength (mg) (Jan 2022)]], "")</f>
        <v>1.7823333333333333</v>
      </c>
      <c r="CA28" s="74" t="s">
        <v>1741</v>
      </c>
      <c r="CB28" s="57" t="s">
        <v>1772</v>
      </c>
      <c r="CC28" s="57" t="s">
        <v>1489</v>
      </c>
      <c r="CD28" s="57">
        <v>60</v>
      </c>
      <c r="CE28" s="58">
        <v>112.71883</v>
      </c>
      <c r="CF28" s="247">
        <f>IFERROR(Table6[[#This Row],[Redbook WAC price per tablet/capsule (Jul 2022)]]/Table6[[#This Row],[Redbook package strength (mg) (Jul 2022)]], "")</f>
        <v>1.8786471666666666</v>
      </c>
      <c r="CG28" s="74" t="s">
        <v>1741</v>
      </c>
      <c r="CH28" s="57" t="s">
        <v>2392</v>
      </c>
      <c r="CI28" s="57" t="s">
        <v>1489</v>
      </c>
      <c r="CJ28" s="57">
        <v>240</v>
      </c>
      <c r="CK28" s="58">
        <v>473.41899999999998</v>
      </c>
      <c r="CL28" s="58">
        <f>IFERROR(Table6[[#This Row],[Redbook WAC price per tablet/capsule (Jan 2023)]]/Table6[[#This Row],[Redbook package strength (mg) (Jan 2023)]], "")</f>
        <v>1.9725791666666666</v>
      </c>
      <c r="CM28" s="57" t="s">
        <v>1741</v>
      </c>
      <c r="CN28" t="s">
        <v>2663</v>
      </c>
    </row>
    <row r="29" spans="1:92" x14ac:dyDescent="0.3">
      <c r="A29" s="138" t="s">
        <v>53</v>
      </c>
      <c r="B29" s="158" t="s">
        <v>1773</v>
      </c>
      <c r="C29" s="158" t="s">
        <v>1490</v>
      </c>
      <c r="D29" s="158">
        <v>40</v>
      </c>
      <c r="E29" s="158">
        <v>73.733191666699994</v>
      </c>
      <c r="F29" s="158">
        <f>IFERROR(Table6[[#This Row],[Redbook WAC price per tablet/capsule (Jan 2016)]]/Table6[[#This Row],[Redbook package strength (mg) (Jan 2016)]], "")</f>
        <v>1.8433297916674998</v>
      </c>
      <c r="G29" s="191" t="s">
        <v>1741</v>
      </c>
      <c r="H29" s="158" t="s">
        <v>1773</v>
      </c>
      <c r="I29" s="158" t="s">
        <v>1490</v>
      </c>
      <c r="J29" s="158">
        <v>40</v>
      </c>
      <c r="K29" s="158">
        <v>78.083399999999997</v>
      </c>
      <c r="L29" s="57">
        <f>IFERROR(Table6[[#This Row],[Redbook WAC price per tablet/capsule (Jul 2016)]]/Table6[[#This Row],[Redbook package strength (mg) (Jul 2016)]], "")</f>
        <v>1.9520849999999998</v>
      </c>
      <c r="M29" s="191" t="s">
        <v>1741</v>
      </c>
      <c r="N29" s="158" t="s">
        <v>1773</v>
      </c>
      <c r="O29" s="158" t="s">
        <v>1490</v>
      </c>
      <c r="P29" s="158">
        <v>40</v>
      </c>
      <c r="Q29" s="158">
        <v>78.083399999999997</v>
      </c>
      <c r="R29" s="57">
        <f>IFERROR(Table6[[#This Row],[Redbook WAC price per tablet/capsule (Jan 2017)]]/Table6[[#This Row],[Redbook package strength (mg) (Jan 2017)]], "")</f>
        <v>1.9520849999999998</v>
      </c>
      <c r="S29" s="191" t="s">
        <v>1741</v>
      </c>
      <c r="T29" s="158" t="s">
        <v>1773</v>
      </c>
      <c r="U29" s="57" t="s">
        <v>1490</v>
      </c>
      <c r="V29" s="57">
        <v>40</v>
      </c>
      <c r="W29" s="285">
        <f>(102.97633/1.2)</f>
        <v>85.813608333333335</v>
      </c>
      <c r="X29" s="284">
        <f>IFERROR(Table6[[#This Row],[Redbook WAC price per tablet/capsule (Jul 2017)]]/Table6[[#This Row],[Redbook package strength (mg) (Jul 2017)]], "")</f>
        <v>2.1453402083333333</v>
      </c>
      <c r="Y29" s="57" t="s">
        <v>1741</v>
      </c>
      <c r="Z29" s="388" t="s">
        <v>1773</v>
      </c>
      <c r="AA29" s="389" t="s">
        <v>1490</v>
      </c>
      <c r="AB29" s="158">
        <v>40</v>
      </c>
      <c r="AC29" s="390">
        <v>85.813608333333335</v>
      </c>
      <c r="AD29" s="390">
        <f>Table6[[#This Row],[Redbook WAC price per tablet/capsule (Jan 2018)]]/Table6[[#This Row],[Redbook package strength (mg) (Jan 2018)]]</f>
        <v>2.1453402083333333</v>
      </c>
      <c r="AE29" s="391" t="s">
        <v>1741</v>
      </c>
      <c r="AF29" s="388" t="s">
        <v>1773</v>
      </c>
      <c r="AG29" s="389" t="s">
        <v>1490</v>
      </c>
      <c r="AH29" s="397">
        <v>40</v>
      </c>
      <c r="AI29" s="399">
        <v>90.876599999999996</v>
      </c>
      <c r="AJ29" s="399">
        <f>Table6[[#This Row],[Redbook WAC price per tablet/capsule (Jul 2018)]]/Table6[[#This Row],[Redbook package strength (mg) (Jul 2018)]]</f>
        <v>2.2719149999999999</v>
      </c>
      <c r="AK29" s="391" t="s">
        <v>1741</v>
      </c>
      <c r="AL29" s="57" t="s">
        <v>1773</v>
      </c>
      <c r="AM29" s="57" t="s">
        <v>1490</v>
      </c>
      <c r="AN29" s="57">
        <v>40</v>
      </c>
      <c r="AO29" s="58">
        <v>90.876599999999996</v>
      </c>
      <c r="AP29" s="58">
        <f>IFERROR(Table6[[#This Row],[Redbook WAC price per tablet/capsule (Jan 2019)]]/Table6[[#This Row],[Redbook package strength (mg) (Jan 2019)]], "")</f>
        <v>2.2719149999999999</v>
      </c>
      <c r="AQ29" s="74" t="s">
        <v>1741</v>
      </c>
      <c r="AR29" s="73" t="s">
        <v>1773</v>
      </c>
      <c r="AS29" s="57" t="s">
        <v>1490</v>
      </c>
      <c r="AT29" s="57">
        <v>40</v>
      </c>
      <c r="AU29" s="58">
        <v>96.238299999999995</v>
      </c>
      <c r="AV29" s="58">
        <f>IFERROR(Table6[[#This Row],[Redbook WAC price per tablet/capsule (Jul 2019)]]/Table6[[#This Row],[Redbook package strength (mg) (Jul 2019)]], "")</f>
        <v>2.4059575</v>
      </c>
      <c r="AW29" s="74" t="s">
        <v>1741</v>
      </c>
      <c r="AX29" s="73" t="s">
        <v>1773</v>
      </c>
      <c r="AY29" s="57" t="s">
        <v>1490</v>
      </c>
      <c r="AZ29" s="57">
        <v>40</v>
      </c>
      <c r="BA29" s="59">
        <v>96.238299999999995</v>
      </c>
      <c r="BB29" s="59">
        <f>IFERROR(Table6[[#This Row],[Redbook WAC price per tablet/capsule (Jan 2020)]]/Table6[[#This Row],[Redbook package strength (mg) (Jan 2020)]], "")</f>
        <v>2.4059575</v>
      </c>
      <c r="BC29" t="s">
        <v>1741</v>
      </c>
      <c r="BD29" s="73" t="s">
        <v>1773</v>
      </c>
      <c r="BE29" s="57" t="s">
        <v>1490</v>
      </c>
      <c r="BF29" s="57">
        <v>40</v>
      </c>
      <c r="BG29" s="58">
        <v>99.317999999999998</v>
      </c>
      <c r="BH29" s="58">
        <f>IFERROR(Table6[[#This Row],[Redbook WAC price per tablet/capsule (Jul 2020)]]/Table6[[#This Row],[Redbook package strength (mg) (Jul 2020)]], "")</f>
        <v>2.4829499999999998</v>
      </c>
      <c r="BI29" s="74" t="s">
        <v>1741</v>
      </c>
      <c r="BJ29" s="57" t="s">
        <v>1773</v>
      </c>
      <c r="BK29" s="57" t="s">
        <v>1490</v>
      </c>
      <c r="BL29" s="57">
        <v>40</v>
      </c>
      <c r="BM29" s="58">
        <v>99.317999999999998</v>
      </c>
      <c r="BN29" s="58">
        <f>IFERROR(Table6[[#This Row],[Redbook WAC price per tablet/capsule (Jan 2021)]]/Table6[[#This Row],[Redbook package strength (mg) (Jan 2021)]], "")</f>
        <v>2.4829499999999998</v>
      </c>
      <c r="BO29" s="57" t="s">
        <v>1741</v>
      </c>
      <c r="BP29" s="73" t="s">
        <v>2058</v>
      </c>
      <c r="BQ29" s="57" t="s">
        <v>1490</v>
      </c>
      <c r="BR29" s="57">
        <v>80</v>
      </c>
      <c r="BS29" s="58">
        <v>204.595</v>
      </c>
      <c r="BT29" s="58">
        <f>IFERROR(Table6[[#This Row],[Redbook WAC price per tablet/capsule (Jul 2021)]]/Table6[[#This Row],[Redbook package strength (mg) (Jul 2021)]], "")</f>
        <v>2.5574374999999998</v>
      </c>
      <c r="BU29" s="57" t="s">
        <v>1741</v>
      </c>
      <c r="BV29" s="186" t="s">
        <v>2058</v>
      </c>
      <c r="BW29" s="158" t="s">
        <v>1490</v>
      </c>
      <c r="BX29" s="57">
        <v>80</v>
      </c>
      <c r="BY29" s="58">
        <v>204.6</v>
      </c>
      <c r="BZ29" s="58">
        <f>IFERROR(Table6[[#This Row],[Redbook WAC price per tablet/capsule (Jan 2022)]]/Table6[[#This Row],[Redbook package strength (mg) (Jan 2022)]], "")</f>
        <v>2.5575000000000001</v>
      </c>
      <c r="CA29" s="74" t="s">
        <v>1741</v>
      </c>
      <c r="CB29" s="57" t="s">
        <v>2058</v>
      </c>
      <c r="CC29" s="57" t="s">
        <v>1490</v>
      </c>
      <c r="CD29" s="57">
        <v>80</v>
      </c>
      <c r="CE29" s="58">
        <v>216.66616999999999</v>
      </c>
      <c r="CF29" s="247">
        <f>IFERROR(Table6[[#This Row],[Redbook WAC price per tablet/capsule (Jul 2022)]]/Table6[[#This Row],[Redbook package strength (mg) (Jul 2022)]], "")</f>
        <v>2.7083271249999998</v>
      </c>
      <c r="CG29" s="74" t="s">
        <v>1741</v>
      </c>
      <c r="CH29" s="57" t="s">
        <v>2058</v>
      </c>
      <c r="CI29" s="57" t="s">
        <v>1490</v>
      </c>
      <c r="CJ29" s="57">
        <v>80</v>
      </c>
      <c r="CK29" s="58">
        <v>227.49950000000001</v>
      </c>
      <c r="CL29" s="58">
        <f>IFERROR(Table6[[#This Row],[Redbook WAC price per tablet/capsule (Jan 2023)]]/Table6[[#This Row],[Redbook package strength (mg) (Jan 2023)]], "")</f>
        <v>2.8437437500000002</v>
      </c>
      <c r="CM29" s="57" t="s">
        <v>1741</v>
      </c>
      <c r="CN29" t="s">
        <v>2664</v>
      </c>
    </row>
    <row r="30" spans="1:92" x14ac:dyDescent="0.3">
      <c r="A30" s="135" t="s">
        <v>54</v>
      </c>
      <c r="B30" s="57" t="s">
        <v>2668</v>
      </c>
      <c r="C30" s="57" t="s">
        <v>1851</v>
      </c>
      <c r="D30" s="57">
        <v>200</v>
      </c>
      <c r="E30" s="57">
        <v>3.1579999999999999</v>
      </c>
      <c r="F30" s="57">
        <f>IFERROR(Table6[[#This Row],[Redbook WAC price per tablet/capsule (Jan 2016)]]/Table6[[#This Row],[Redbook package strength (mg) (Jan 2016)]], "")</f>
        <v>1.5789999999999998E-2</v>
      </c>
      <c r="G30" s="74" t="s">
        <v>1741</v>
      </c>
      <c r="H30" s="57" t="s">
        <v>2668</v>
      </c>
      <c r="I30" s="57" t="s">
        <v>1851</v>
      </c>
      <c r="J30" s="57">
        <v>200</v>
      </c>
      <c r="K30" s="57">
        <v>3.1579999999999999</v>
      </c>
      <c r="L30" s="57">
        <f>IFERROR(Table6[[#This Row],[Redbook WAC price per tablet/capsule (Jul 2016)]]/Table6[[#This Row],[Redbook package strength (mg) (Jul 2016)]], "")</f>
        <v>1.5789999999999998E-2</v>
      </c>
      <c r="M30" s="74" t="s">
        <v>1741</v>
      </c>
      <c r="N30" s="57" t="s">
        <v>2668</v>
      </c>
      <c r="O30" s="57" t="s">
        <v>1851</v>
      </c>
      <c r="P30" s="57">
        <v>200</v>
      </c>
      <c r="Q30" s="57">
        <v>3.1579999999999999</v>
      </c>
      <c r="R30" s="57">
        <f>IFERROR(Table6[[#This Row],[Redbook WAC price per tablet/capsule (Jan 2017)]]/Table6[[#This Row],[Redbook package strength (mg) (Jan 2017)]], "")</f>
        <v>1.5789999999999998E-2</v>
      </c>
      <c r="S30" s="74" t="s">
        <v>1741</v>
      </c>
      <c r="T30" s="57" t="s">
        <v>1850</v>
      </c>
      <c r="U30" s="57" t="s">
        <v>1851</v>
      </c>
      <c r="V30" s="57">
        <v>200</v>
      </c>
      <c r="W30" s="284">
        <v>2.2155</v>
      </c>
      <c r="X30" s="284">
        <f>IFERROR(Table6[[#This Row],[Redbook WAC price per tablet/capsule (Jul 2017)]]/Table6[[#This Row],[Redbook package strength (mg) (Jul 2017)]], "")</f>
        <v>1.1077500000000001E-2</v>
      </c>
      <c r="Y30" s="57" t="s">
        <v>1741</v>
      </c>
      <c r="Z30" s="388" t="s">
        <v>2668</v>
      </c>
      <c r="AA30" s="389" t="s">
        <v>1851</v>
      </c>
      <c r="AB30" s="158">
        <v>200</v>
      </c>
      <c r="AC30" s="390">
        <v>3.1580000000000004</v>
      </c>
      <c r="AD30" s="390">
        <f>Table6[[#This Row],[Redbook WAC price per tablet/capsule (Jan 2018)]]/Table6[[#This Row],[Redbook package strength (mg) (Jan 2018)]]</f>
        <v>1.5790000000000002E-2</v>
      </c>
      <c r="AE30" s="391" t="s">
        <v>1741</v>
      </c>
      <c r="AF30" s="388" t="s">
        <v>2668</v>
      </c>
      <c r="AG30" s="389" t="s">
        <v>1851</v>
      </c>
      <c r="AH30" s="397">
        <v>200</v>
      </c>
      <c r="AI30" s="399">
        <v>3.1580000000000004</v>
      </c>
      <c r="AJ30" s="399">
        <f>Table6[[#This Row],[Redbook WAC price per tablet/capsule (Jul 2018)]]/Table6[[#This Row],[Redbook package strength (mg) (Jul 2018)]]</f>
        <v>1.5790000000000002E-2</v>
      </c>
      <c r="AK30" s="391" t="s">
        <v>1741</v>
      </c>
      <c r="AL30" s="57" t="s">
        <v>1850</v>
      </c>
      <c r="AM30" s="57" t="s">
        <v>1851</v>
      </c>
      <c r="AN30" s="57">
        <v>200</v>
      </c>
      <c r="AO30" s="58">
        <v>2.2155</v>
      </c>
      <c r="AP30" s="58">
        <f>IFERROR(Table6[[#This Row],[Redbook WAC price per tablet/capsule (Jan 2019)]]/Table6[[#This Row],[Redbook package strength (mg) (Jan 2019)]], "")</f>
        <v>1.1077500000000001E-2</v>
      </c>
      <c r="AQ30" s="74" t="s">
        <v>1741</v>
      </c>
      <c r="AR30" s="73" t="s">
        <v>1853</v>
      </c>
      <c r="AS30" s="57" t="s">
        <v>1851</v>
      </c>
      <c r="AT30" s="57">
        <v>200</v>
      </c>
      <c r="AU30" s="58">
        <v>1.0509999999999999</v>
      </c>
      <c r="AV30" s="58">
        <f>IFERROR(Table6[[#This Row],[Redbook WAC price per tablet/capsule (Jul 2019)]]/Table6[[#This Row],[Redbook package strength (mg) (Jul 2019)]], "")</f>
        <v>5.2549999999999993E-3</v>
      </c>
      <c r="AW30" s="74" t="s">
        <v>1741</v>
      </c>
      <c r="AX30" s="73" t="s">
        <v>1853</v>
      </c>
      <c r="AY30" s="57" t="s">
        <v>1851</v>
      </c>
      <c r="AZ30" s="57">
        <v>200</v>
      </c>
      <c r="BA30" s="58">
        <v>1.0509999999999999</v>
      </c>
      <c r="BB30" s="59">
        <f>IFERROR(Table6[[#This Row],[Redbook WAC price per tablet/capsule (Jan 2020)]]/Table6[[#This Row],[Redbook package strength (mg) (Jan 2020)]], "")</f>
        <v>5.2549999999999993E-3</v>
      </c>
      <c r="BC30" s="74" t="s">
        <v>1741</v>
      </c>
      <c r="BD30" s="73" t="s">
        <v>1853</v>
      </c>
      <c r="BE30" s="57" t="s">
        <v>1851</v>
      </c>
      <c r="BF30" s="57">
        <v>200</v>
      </c>
      <c r="BG30" s="58">
        <v>1.0509999999999999</v>
      </c>
      <c r="BH30" s="58">
        <f>IFERROR(Table6[[#This Row],[Redbook WAC price per tablet/capsule (Jul 2020)]]/Table6[[#This Row],[Redbook package strength (mg) (Jul 2020)]], "")</f>
        <v>5.2549999999999993E-3</v>
      </c>
      <c r="BI30" s="74" t="s">
        <v>1741</v>
      </c>
      <c r="BJ30" s="57" t="s">
        <v>1853</v>
      </c>
      <c r="BK30" s="57" t="s">
        <v>1851</v>
      </c>
      <c r="BL30" s="57">
        <v>200</v>
      </c>
      <c r="BM30" s="58">
        <v>1.0509999999999999</v>
      </c>
      <c r="BN30" s="58">
        <f>IFERROR(Table6[[#This Row],[Redbook WAC price per tablet/capsule (Jan 2021)]]/Table6[[#This Row],[Redbook package strength (mg) (Jan 2021)]], "")</f>
        <v>5.2549999999999993E-3</v>
      </c>
      <c r="BO30" s="57" t="s">
        <v>1741</v>
      </c>
      <c r="BP30" s="73" t="s">
        <v>1853</v>
      </c>
      <c r="BQ30" s="57" t="s">
        <v>1851</v>
      </c>
      <c r="BR30" s="57">
        <v>200</v>
      </c>
      <c r="BS30" s="58">
        <v>1.0509999999999999</v>
      </c>
      <c r="BT30" s="58">
        <f>IFERROR(Table6[[#This Row],[Redbook WAC price per tablet/capsule (Jul 2021)]]/Table6[[#This Row],[Redbook package strength (mg) (Jul 2021)]], "")</f>
        <v>5.2549999999999993E-3</v>
      </c>
      <c r="BU30" s="74" t="s">
        <v>1741</v>
      </c>
      <c r="BV30" s="57" t="s">
        <v>2143</v>
      </c>
      <c r="BW30" s="158" t="s">
        <v>1851</v>
      </c>
      <c r="BX30">
        <v>200</v>
      </c>
      <c r="BY30" s="58">
        <v>1.0509999999999999</v>
      </c>
      <c r="BZ30" s="58">
        <f>IFERROR(Table6[[#This Row],[Redbook WAC price per tablet/capsule (Jan 2022)]]/Table6[[#This Row],[Redbook package strength (mg) (Jan 2022)]], "")</f>
        <v>5.2549999999999993E-3</v>
      </c>
      <c r="CA30" s="74" t="s">
        <v>1741</v>
      </c>
      <c r="CB30" s="57" t="s">
        <v>2143</v>
      </c>
      <c r="CC30" s="57" t="s">
        <v>1851</v>
      </c>
      <c r="CD30" s="57">
        <v>200</v>
      </c>
      <c r="CE30" s="58">
        <v>1.0509999999999999</v>
      </c>
      <c r="CF30" s="58">
        <f>IFERROR(Table6[[#This Row],[Redbook WAC price per tablet/capsule (Jul 2022)]]/Table6[[#This Row],[Redbook package strength (mg) (Jul 2022)]], "")</f>
        <v>5.2549999999999993E-3</v>
      </c>
      <c r="CG30" s="74" t="s">
        <v>1741</v>
      </c>
      <c r="CH30" s="57" t="s">
        <v>2143</v>
      </c>
      <c r="CI30" s="57" t="s">
        <v>1851</v>
      </c>
      <c r="CJ30" s="57">
        <v>200</v>
      </c>
      <c r="CK30" s="58">
        <v>1.0509999999999999</v>
      </c>
      <c r="CL30" s="58">
        <f>IFERROR(Table6[[#This Row],[Redbook WAC price per tablet/capsule (Jan 2023)]]/Table6[[#This Row],[Redbook package strength (mg) (Jan 2023)]], "")</f>
        <v>5.2549999999999993E-3</v>
      </c>
      <c r="CM30" s="57" t="s">
        <v>1741</v>
      </c>
      <c r="CN30" t="s">
        <v>1849</v>
      </c>
    </row>
    <row r="31" spans="1:92" x14ac:dyDescent="0.3">
      <c r="A31" s="83" t="s">
        <v>55</v>
      </c>
      <c r="B31" s="342" t="s">
        <v>2669</v>
      </c>
      <c r="C31" s="57" t="s">
        <v>1477</v>
      </c>
      <c r="D31" s="57">
        <v>50</v>
      </c>
      <c r="E31" s="57">
        <v>0.69333</v>
      </c>
      <c r="F31" s="57">
        <f>IFERROR(Table6[[#This Row],[Redbook WAC price per tablet/capsule (Jan 2016)]]/Table6[[#This Row],[Redbook package strength (mg) (Jan 2016)]], "")</f>
        <v>1.38666E-2</v>
      </c>
      <c r="G31" s="74" t="s">
        <v>1741</v>
      </c>
      <c r="H31" s="57" t="s">
        <v>1774</v>
      </c>
      <c r="I31" s="57" t="s">
        <v>1477</v>
      </c>
      <c r="J31" s="57">
        <v>50</v>
      </c>
      <c r="K31" s="57">
        <v>0.75832999999999995</v>
      </c>
      <c r="L31" s="57">
        <f>IFERROR(Table6[[#This Row],[Redbook WAC price per tablet/capsule (Jul 2016)]]/Table6[[#This Row],[Redbook package strength (mg) (Jul 2016)]], "")</f>
        <v>1.5166599999999999E-2</v>
      </c>
      <c r="M31" s="74" t="s">
        <v>1741</v>
      </c>
      <c r="N31" t="s">
        <v>1774</v>
      </c>
      <c r="O31" s="57" t="s">
        <v>1477</v>
      </c>
      <c r="P31" s="57">
        <v>50</v>
      </c>
      <c r="Q31" s="57">
        <v>0.75832999999999995</v>
      </c>
      <c r="R31" s="57">
        <f>IFERROR(Table6[[#This Row],[Redbook WAC price per tablet/capsule (Jan 2017)]]/Table6[[#This Row],[Redbook package strength (mg) (Jan 2017)]], "")</f>
        <v>1.5166599999999999E-2</v>
      </c>
      <c r="S31" s="74" t="s">
        <v>1741</v>
      </c>
      <c r="T31" s="57" t="s">
        <v>1774</v>
      </c>
      <c r="U31" s="57" t="s">
        <v>1477</v>
      </c>
      <c r="V31" s="57">
        <v>50</v>
      </c>
      <c r="W31" s="284">
        <v>0.75832999999999995</v>
      </c>
      <c r="X31" s="284">
        <f>IFERROR(Table6[[#This Row],[Redbook WAC price per tablet/capsule (Jul 2017)]]/Table6[[#This Row],[Redbook package strength (mg) (Jul 2017)]], "")</f>
        <v>1.5166599999999999E-2</v>
      </c>
      <c r="Y31" s="57" t="s">
        <v>1741</v>
      </c>
      <c r="Z31" s="388" t="s">
        <v>1774</v>
      </c>
      <c r="AA31" s="389" t="s">
        <v>1477</v>
      </c>
      <c r="AB31" s="158">
        <v>50</v>
      </c>
      <c r="AC31" s="390">
        <v>0.75832999999999995</v>
      </c>
      <c r="AD31" s="390">
        <f>Table6[[#This Row],[Redbook WAC price per tablet/capsule (Jan 2018)]]/Table6[[#This Row],[Redbook package strength (mg) (Jan 2018)]]</f>
        <v>1.5166599999999999E-2</v>
      </c>
      <c r="AE31" s="391" t="s">
        <v>1741</v>
      </c>
      <c r="AF31" s="388" t="s">
        <v>1774</v>
      </c>
      <c r="AG31" s="389" t="s">
        <v>1477</v>
      </c>
      <c r="AH31" s="397">
        <v>50</v>
      </c>
      <c r="AI31" s="399">
        <v>0.75832999999999995</v>
      </c>
      <c r="AJ31" s="399">
        <f>Table6[[#This Row],[Redbook WAC price per tablet/capsule (Jul 2018)]]/Table6[[#This Row],[Redbook package strength (mg) (Jul 2018)]]</f>
        <v>1.5166599999999999E-2</v>
      </c>
      <c r="AK31" s="391" t="s">
        <v>1741</v>
      </c>
      <c r="AL31" s="57" t="s">
        <v>1774</v>
      </c>
      <c r="AM31" s="57" t="s">
        <v>1477</v>
      </c>
      <c r="AN31" s="57">
        <v>50</v>
      </c>
      <c r="AO31" s="58">
        <v>0.75832999999999995</v>
      </c>
      <c r="AP31" s="58">
        <f>IFERROR(Table6[[#This Row],[Redbook WAC price per tablet/capsule (Jan 2019)]]/Table6[[#This Row],[Redbook package strength (mg) (Jan 2019)]], "")</f>
        <v>1.5166599999999999E-2</v>
      </c>
      <c r="AQ31" s="74" t="s">
        <v>1741</v>
      </c>
      <c r="AR31" s="73" t="s">
        <v>1774</v>
      </c>
      <c r="AS31" s="57" t="s">
        <v>1477</v>
      </c>
      <c r="AT31" s="57">
        <v>50</v>
      </c>
      <c r="AU31" s="58">
        <v>0.75832999999999995</v>
      </c>
      <c r="AV31" s="58">
        <f>IFERROR(Table6[[#This Row],[Redbook WAC price per tablet/capsule (Jul 2019)]]/Table6[[#This Row],[Redbook package strength (mg) (Jul 2019)]], "")</f>
        <v>1.5166599999999999E-2</v>
      </c>
      <c r="AW31" s="74" t="s">
        <v>1741</v>
      </c>
      <c r="AX31" s="73" t="s">
        <v>1774</v>
      </c>
      <c r="AY31" s="57" t="s">
        <v>1477</v>
      </c>
      <c r="AZ31" s="57">
        <v>50</v>
      </c>
      <c r="BA31" s="59">
        <v>0.75832999999999995</v>
      </c>
      <c r="BB31" s="59">
        <f>IFERROR(Table6[[#This Row],[Redbook WAC price per tablet/capsule (Jan 2020)]]/Table6[[#This Row],[Redbook package strength (mg) (Jan 2020)]], "")</f>
        <v>1.5166599999999999E-2</v>
      </c>
      <c r="BC31" t="s">
        <v>1741</v>
      </c>
      <c r="BD31" s="73" t="s">
        <v>1774</v>
      </c>
      <c r="BE31" s="57" t="s">
        <v>1477</v>
      </c>
      <c r="BF31" s="57">
        <v>50</v>
      </c>
      <c r="BG31" s="58">
        <v>0.75832999999999995</v>
      </c>
      <c r="BH31" s="92">
        <f>IFERROR(Table6[[#This Row],[Redbook WAC price per tablet/capsule (Jul 2020)]]/Table6[[#This Row],[Redbook package strength (mg) (Jul 2020)]], "")</f>
        <v>1.5166599999999999E-2</v>
      </c>
      <c r="BI31" s="74" t="s">
        <v>1741</v>
      </c>
      <c r="BJ31" s="57" t="s">
        <v>1774</v>
      </c>
      <c r="BK31" s="57" t="s">
        <v>1477</v>
      </c>
      <c r="BL31" s="57">
        <v>50</v>
      </c>
      <c r="BM31" s="58">
        <v>0.75832999999999995</v>
      </c>
      <c r="BN31" s="58">
        <f>IFERROR(Table6[[#This Row],[Redbook WAC price per tablet/capsule (Jan 2021)]]/Table6[[#This Row],[Redbook package strength (mg) (Jan 2021)]], "")</f>
        <v>1.5166599999999999E-2</v>
      </c>
      <c r="BO31" s="57" t="s">
        <v>1741</v>
      </c>
      <c r="BP31" s="73" t="s">
        <v>1774</v>
      </c>
      <c r="BQ31" s="57" t="s">
        <v>1477</v>
      </c>
      <c r="BR31" s="57">
        <v>50</v>
      </c>
      <c r="BS31" s="58">
        <v>0.75832999999999995</v>
      </c>
      <c r="BT31" s="58">
        <f>IFERROR(Table6[[#This Row],[Redbook WAC price per tablet/capsule (Jul 2021)]]/Table6[[#This Row],[Redbook package strength (mg) (Jul 2021)]], "")</f>
        <v>1.5166599999999999E-2</v>
      </c>
      <c r="BU31" s="57" t="s">
        <v>1741</v>
      </c>
      <c r="BV31" s="186" t="s">
        <v>1774</v>
      </c>
      <c r="BW31" s="158" t="s">
        <v>1477</v>
      </c>
      <c r="BX31" s="57">
        <v>50</v>
      </c>
      <c r="BY31" s="58">
        <v>0.76</v>
      </c>
      <c r="BZ31" s="58">
        <f>IFERROR(Table6[[#This Row],[Redbook WAC price per tablet/capsule (Jan 2022)]]/Table6[[#This Row],[Redbook package strength (mg) (Jan 2022)]], "")</f>
        <v>1.52E-2</v>
      </c>
      <c r="CA31" s="74" t="s">
        <v>1741</v>
      </c>
      <c r="CB31" s="57" t="s">
        <v>1774</v>
      </c>
      <c r="CC31" s="158" t="s">
        <v>1477</v>
      </c>
      <c r="CD31" s="57">
        <v>50</v>
      </c>
      <c r="CE31" s="58">
        <v>0.75832999999999995</v>
      </c>
      <c r="CF31" s="58">
        <f>IFERROR(Table6[[#This Row],[Redbook WAC price per tablet/capsule (Jul 2022)]]/Table6[[#This Row],[Redbook package strength (mg) (Jul 2022)]], "")</f>
        <v>1.5166599999999999E-2</v>
      </c>
      <c r="CG31" s="74" t="s">
        <v>1741</v>
      </c>
      <c r="CH31" s="57" t="s">
        <v>1774</v>
      </c>
      <c r="CI31" s="57" t="s">
        <v>1477</v>
      </c>
      <c r="CJ31" s="57">
        <v>50</v>
      </c>
      <c r="CK31" s="58">
        <v>0.75832999999999995</v>
      </c>
      <c r="CL31" s="58">
        <f>IFERROR(Table6[[#This Row],[Redbook WAC price per tablet/capsule (Jan 2023)]]/Table6[[#This Row],[Redbook package strength (mg) (Jan 2023)]], "")</f>
        <v>1.5166599999999999E-2</v>
      </c>
      <c r="CM31" s="57" t="s">
        <v>1741</v>
      </c>
    </row>
    <row r="32" spans="1:92" x14ac:dyDescent="0.3">
      <c r="A32" s="90" t="s">
        <v>56</v>
      </c>
      <c r="B32" s="57" t="s">
        <v>1854</v>
      </c>
      <c r="C32" s="57" t="s">
        <v>1855</v>
      </c>
      <c r="D32" s="57">
        <v>250</v>
      </c>
      <c r="E32" s="57">
        <v>66.635975000000002</v>
      </c>
      <c r="F32" s="57">
        <f>IFERROR(Table6[[#This Row],[Redbook WAC price per tablet/capsule (Jan 2016)]]/Table6[[#This Row],[Redbook package strength (mg) (Jan 2016)]], "")</f>
        <v>0.2665439</v>
      </c>
      <c r="G32" s="74" t="s">
        <v>1741</v>
      </c>
      <c r="H32" s="57" t="s">
        <v>1854</v>
      </c>
      <c r="I32" s="57" t="s">
        <v>1855</v>
      </c>
      <c r="J32" s="57">
        <v>250</v>
      </c>
      <c r="K32" s="57">
        <v>71.900274999999993</v>
      </c>
      <c r="L32" s="57">
        <f>IFERROR(Table6[[#This Row],[Redbook WAC price per tablet/capsule (Jul 2016)]]/Table6[[#This Row],[Redbook package strength (mg) (Jul 2016)]], "")</f>
        <v>0.2876011</v>
      </c>
      <c r="M32" s="74" t="s">
        <v>1741</v>
      </c>
      <c r="N32" s="57" t="s">
        <v>1854</v>
      </c>
      <c r="O32" s="57" t="s">
        <v>1855</v>
      </c>
      <c r="P32" s="57">
        <v>250</v>
      </c>
      <c r="Q32" s="57">
        <v>71.900274999999993</v>
      </c>
      <c r="R32" s="57">
        <f>IFERROR(Table6[[#This Row],[Redbook WAC price per tablet/capsule (Jan 2017)]]/Table6[[#This Row],[Redbook package strength (mg) (Jan 2017)]], "")</f>
        <v>0.2876011</v>
      </c>
      <c r="S32" s="74" t="s">
        <v>1741</v>
      </c>
      <c r="T32" s="57" t="s">
        <v>1854</v>
      </c>
      <c r="U32" s="57" t="s">
        <v>1855</v>
      </c>
      <c r="V32" s="57">
        <v>250</v>
      </c>
      <c r="W32" s="284">
        <f>(93.95883/1.2)</f>
        <v>78.299025000000015</v>
      </c>
      <c r="X32" s="284">
        <f>IFERROR(Table6[[#This Row],[Redbook WAC price per tablet/capsule (Jul 2017)]]/Table6[[#This Row],[Redbook package strength (mg) (Jul 2017)]], "")</f>
        <v>0.31319610000000003</v>
      </c>
      <c r="Y32" s="57" t="s">
        <v>1741</v>
      </c>
      <c r="Z32" s="388" t="s">
        <v>1854</v>
      </c>
      <c r="AA32" s="389" t="s">
        <v>1855</v>
      </c>
      <c r="AB32" s="158">
        <v>250</v>
      </c>
      <c r="AC32" s="390">
        <v>78.299025000000015</v>
      </c>
      <c r="AD32" s="390">
        <f>Table6[[#This Row],[Redbook WAC price per tablet/capsule (Jan 2018)]]/Table6[[#This Row],[Redbook package strength (mg) (Jan 2018)]]</f>
        <v>0.31319610000000003</v>
      </c>
      <c r="AE32" s="391" t="s">
        <v>1741</v>
      </c>
      <c r="AF32" s="388" t="s">
        <v>1854</v>
      </c>
      <c r="AG32" s="389" t="s">
        <v>1855</v>
      </c>
      <c r="AH32" s="397">
        <v>250</v>
      </c>
      <c r="AI32" s="399">
        <v>85.267983333333333</v>
      </c>
      <c r="AJ32" s="399">
        <f>Table6[[#This Row],[Redbook WAC price per tablet/capsule (Jul 2018)]]/Table6[[#This Row],[Redbook package strength (mg) (Jul 2018)]]</f>
        <v>0.34107193333333335</v>
      </c>
      <c r="AK32" s="391" t="s">
        <v>1741</v>
      </c>
      <c r="AL32" s="57" t="s">
        <v>1854</v>
      </c>
      <c r="AM32" s="57" t="s">
        <v>1855</v>
      </c>
      <c r="AN32" s="57">
        <v>250</v>
      </c>
      <c r="AO32" s="58">
        <v>85.268000000000001</v>
      </c>
      <c r="AP32" s="58">
        <f>IFERROR(Table6[[#This Row],[Redbook WAC price per tablet/capsule (Jan 2019)]]/Table6[[#This Row],[Redbook package strength (mg) (Jan 2019)]], "")</f>
        <v>0.34107199999999999</v>
      </c>
      <c r="AQ32" s="74" t="s">
        <v>1741</v>
      </c>
      <c r="AR32" s="73" t="s">
        <v>1858</v>
      </c>
      <c r="AS32" s="57" t="s">
        <v>1857</v>
      </c>
      <c r="AT32" s="57">
        <v>250</v>
      </c>
      <c r="AU32" s="58">
        <v>38.882199999999997</v>
      </c>
      <c r="AV32" s="58">
        <f>IFERROR(Table6[[#This Row],[Redbook WAC price per tablet/capsule (Jul 2019)]]/Table6[[#This Row],[Redbook package strength (mg) (Jul 2019)]], "")</f>
        <v>0.15552879999999999</v>
      </c>
      <c r="AW32" s="74" t="s">
        <v>1741</v>
      </c>
      <c r="AX32" t="s">
        <v>1859</v>
      </c>
      <c r="AY32" s="57" t="s">
        <v>1857</v>
      </c>
      <c r="AZ32" s="57">
        <v>250</v>
      </c>
      <c r="BA32" s="59">
        <v>21.875</v>
      </c>
      <c r="BB32" s="59">
        <f>IFERROR(Table6[[#This Row],[Redbook WAC price per tablet/capsule (Jan 2020)]]/Table6[[#This Row],[Redbook package strength (mg) (Jan 2020)]], "")</f>
        <v>8.7499999999999994E-2</v>
      </c>
      <c r="BC32" t="s">
        <v>1741</v>
      </c>
      <c r="BD32" s="73" t="s">
        <v>1856</v>
      </c>
      <c r="BE32" s="57" t="s">
        <v>1857</v>
      </c>
      <c r="BF32" s="57">
        <v>250</v>
      </c>
      <c r="BG32" s="58">
        <v>1.875</v>
      </c>
      <c r="BH32" s="58">
        <f>IFERROR(Table6[[#This Row],[Redbook WAC price per tablet/capsule (Jul 2020)]]/Table6[[#This Row],[Redbook package strength (mg) (Jul 2020)]], "")</f>
        <v>7.4999999999999997E-3</v>
      </c>
      <c r="BI32" s="74" t="s">
        <v>1741</v>
      </c>
      <c r="BJ32" s="57" t="s">
        <v>1856</v>
      </c>
      <c r="BK32" s="57" t="s">
        <v>1857</v>
      </c>
      <c r="BL32" s="57">
        <v>250</v>
      </c>
      <c r="BM32" s="58">
        <v>1.875</v>
      </c>
      <c r="BN32" s="58">
        <f>IFERROR(Table6[[#This Row],[Redbook WAC price per tablet/capsule (Jan 2021)]]/Table6[[#This Row],[Redbook package strength (mg) (Jan 2021)]], "")</f>
        <v>7.4999999999999997E-3</v>
      </c>
      <c r="BO32" s="57" t="s">
        <v>1741</v>
      </c>
      <c r="BP32" s="73" t="s">
        <v>1856</v>
      </c>
      <c r="BQ32" s="57" t="s">
        <v>1857</v>
      </c>
      <c r="BR32" s="57">
        <v>250</v>
      </c>
      <c r="BS32" s="58">
        <v>1.875</v>
      </c>
      <c r="BT32" s="58">
        <f>IFERROR(Table6[[#This Row],[Redbook WAC price per tablet/capsule (Jul 2021)]]/Table6[[#This Row],[Redbook package strength (mg) (Jul 2021)]], "")</f>
        <v>7.4999999999999997E-3</v>
      </c>
      <c r="BU32" s="57" t="s">
        <v>1741</v>
      </c>
      <c r="BV32" s="186" t="s">
        <v>1856</v>
      </c>
      <c r="BW32" s="1" t="s">
        <v>2073</v>
      </c>
      <c r="BX32">
        <v>250</v>
      </c>
      <c r="BY32" s="59">
        <v>1.88</v>
      </c>
      <c r="BZ32" s="58">
        <f>IFERROR(Table6[[#This Row],[Redbook WAC price per tablet/capsule (Jan 2022)]]/Table6[[#This Row],[Redbook package strength (mg) (Jan 2022)]], "")</f>
        <v>7.5199999999999998E-3</v>
      </c>
      <c r="CA32" s="74" t="s">
        <v>1741</v>
      </c>
      <c r="CB32" s="57" t="s">
        <v>1856</v>
      </c>
      <c r="CC32" s="57" t="s">
        <v>2073</v>
      </c>
      <c r="CD32" s="57">
        <v>250</v>
      </c>
      <c r="CE32" s="58">
        <v>1.875</v>
      </c>
      <c r="CF32" s="58">
        <f>IFERROR(Table6[[#This Row],[Redbook WAC price per tablet/capsule (Jul 2022)]]/Table6[[#This Row],[Redbook package strength (mg) (Jul 2022)]], "")</f>
        <v>7.4999999999999997E-3</v>
      </c>
      <c r="CG32" s="74" t="s">
        <v>1741</v>
      </c>
      <c r="CH32" s="57"/>
      <c r="CI32" s="57"/>
      <c r="CJ32" s="57"/>
      <c r="CK32" s="58"/>
      <c r="CL32" s="58" t="str">
        <f>IFERROR(Table6[[#This Row],[Redbook WAC price per tablet/capsule (Jan 2023)]]/Table6[[#This Row],[Redbook package strength (mg) (Jan 2023)]], "")</f>
        <v/>
      </c>
      <c r="CM32" s="57"/>
      <c r="CN32" t="s">
        <v>2393</v>
      </c>
    </row>
    <row r="33" spans="1:92" x14ac:dyDescent="0.3">
      <c r="A33" s="83" t="s">
        <v>57</v>
      </c>
      <c r="B33" s="57"/>
      <c r="C33" s="57"/>
      <c r="D33" s="57"/>
      <c r="E33" s="57"/>
      <c r="F33" s="57" t="str">
        <f>IFERROR(Table6[[#This Row],[Redbook WAC price per tablet/capsule (Jan 2016)]]/Table6[[#This Row],[Redbook package strength (mg) (Jan 2016)]], "")</f>
        <v/>
      </c>
      <c r="G33" s="74"/>
      <c r="H33" s="57"/>
      <c r="I33" s="57"/>
      <c r="J33" s="57"/>
      <c r="K33" s="57"/>
      <c r="L33" s="57" t="str">
        <f>IFERROR(Table6[[#This Row],[Redbook WAC price per tablet/capsule (Jul 2016)]]/Table6[[#This Row],[Redbook package strength (mg) (Jul 2016)]], "")</f>
        <v/>
      </c>
      <c r="M33" s="74"/>
      <c r="N33" s="57"/>
      <c r="O33" s="57"/>
      <c r="P33" s="57"/>
      <c r="Q33" s="57"/>
      <c r="R33" s="57" t="str">
        <f>IFERROR(Table6[[#This Row],[Redbook WAC price per tablet/capsule (Jan 2017)]]/Table6[[#This Row],[Redbook package strength (mg) (Jan 2017)]], "")</f>
        <v/>
      </c>
      <c r="S33" s="74"/>
      <c r="T33" s="57"/>
      <c r="U33" s="57"/>
      <c r="V33" s="57"/>
      <c r="W33" s="284"/>
      <c r="X33" s="284" t="str">
        <f>IFERROR(Table6[[#This Row],[Redbook WAC price per tablet/capsule (Jul 2017)]]/Table6[[#This Row],[Redbook package strength (mg) (Jul 2017)]], "")</f>
        <v/>
      </c>
      <c r="Y33" s="57"/>
      <c r="Z33" s="388"/>
      <c r="AA33" s="389"/>
      <c r="AB33" s="158"/>
      <c r="AC33" s="390"/>
      <c r="AD33" s="390"/>
      <c r="AE33" s="391"/>
      <c r="AF33" s="388"/>
      <c r="AG33" s="389"/>
      <c r="AH33" s="397"/>
      <c r="AI33" s="399"/>
      <c r="AJ33" s="399"/>
      <c r="AK33" s="391"/>
      <c r="AL33" s="57" t="s">
        <v>1775</v>
      </c>
      <c r="AM33" s="57" t="s">
        <v>1491</v>
      </c>
      <c r="AN33" s="57">
        <v>125</v>
      </c>
      <c r="AO33" s="58">
        <v>76.741699999999994</v>
      </c>
      <c r="AP33" s="58">
        <f>IFERROR(Table6[[#This Row],[Redbook WAC price per tablet/capsule (Jan 2019)]]/Table6[[#This Row],[Redbook package strength (mg) (Jan 2019)]], "")</f>
        <v>0.61393359999999997</v>
      </c>
      <c r="AQ33" s="74" t="s">
        <v>1741</v>
      </c>
      <c r="AR33" s="73" t="s">
        <v>1775</v>
      </c>
      <c r="AS33" s="57" t="s">
        <v>1491</v>
      </c>
      <c r="AT33" s="57">
        <v>125</v>
      </c>
      <c r="AU33" s="58">
        <v>79.04392</v>
      </c>
      <c r="AV33" s="58">
        <f>IFERROR(Table6[[#This Row],[Redbook WAC price per tablet/capsule (Jul 2019)]]/Table6[[#This Row],[Redbook package strength (mg) (Jul 2019)]], "")</f>
        <v>0.63235136000000003</v>
      </c>
      <c r="AW33" s="74" t="s">
        <v>1741</v>
      </c>
      <c r="AX33" s="73" t="s">
        <v>1775</v>
      </c>
      <c r="AY33" s="57" t="s">
        <v>1491</v>
      </c>
      <c r="AZ33" s="57">
        <v>125</v>
      </c>
      <c r="BA33" s="59">
        <v>79.04392</v>
      </c>
      <c r="BB33" s="59">
        <f>IFERROR(Table6[[#This Row],[Redbook WAC price per tablet/capsule (Jan 2020)]]/Table6[[#This Row],[Redbook package strength (mg) (Jan 2020)]], "")</f>
        <v>0.63235136000000003</v>
      </c>
      <c r="BC33" t="s">
        <v>1741</v>
      </c>
      <c r="BD33" s="73" t="s">
        <v>1775</v>
      </c>
      <c r="BE33" s="57" t="s">
        <v>1491</v>
      </c>
      <c r="BF33" s="57">
        <v>125</v>
      </c>
      <c r="BG33" s="58">
        <v>79.04392</v>
      </c>
      <c r="BH33" s="58">
        <f>IFERROR(Table6[[#This Row],[Redbook WAC price per tablet/capsule (Jul 2020)]]/Table6[[#This Row],[Redbook package strength (mg) (Jul 2020)]], "")</f>
        <v>0.63235136000000003</v>
      </c>
      <c r="BI33" s="74" t="s">
        <v>1741</v>
      </c>
      <c r="BJ33" s="57" t="s">
        <v>1775</v>
      </c>
      <c r="BK33" s="57" t="s">
        <v>1491</v>
      </c>
      <c r="BL33" s="57">
        <v>125</v>
      </c>
      <c r="BM33" s="58">
        <v>79.04392</v>
      </c>
      <c r="BN33" s="58">
        <f>IFERROR(Table6[[#This Row],[Redbook WAC price per tablet/capsule (Jan 2021)]]/Table6[[#This Row],[Redbook package strength (mg) (Jan 2021)]], "")</f>
        <v>0.63235136000000003</v>
      </c>
      <c r="BO33" s="57" t="s">
        <v>1741</v>
      </c>
      <c r="BP33" s="73" t="s">
        <v>1775</v>
      </c>
      <c r="BQ33" s="57" t="s">
        <v>1491</v>
      </c>
      <c r="BR33" s="57">
        <v>125</v>
      </c>
      <c r="BS33" s="58">
        <v>79.04392</v>
      </c>
      <c r="BT33" s="58">
        <f>IFERROR(Table6[[#This Row],[Redbook WAC price per tablet/capsule (Jul 2021)]]/Table6[[#This Row],[Redbook package strength (mg) (Jul 2021)]], "")</f>
        <v>0.63235136000000003</v>
      </c>
      <c r="BU33" s="57" t="s">
        <v>1741</v>
      </c>
      <c r="BV33" s="186" t="s">
        <v>1775</v>
      </c>
      <c r="BW33" s="158" t="s">
        <v>1491</v>
      </c>
      <c r="BX33" s="57">
        <v>125</v>
      </c>
      <c r="BY33" s="58">
        <v>79.040000000000006</v>
      </c>
      <c r="BZ33" s="58">
        <f>IFERROR(Table6[[#This Row],[Redbook WAC price per tablet/capsule (Jan 2022)]]/Table6[[#This Row],[Redbook package strength (mg) (Jan 2022)]], "")</f>
        <v>0.6323200000000001</v>
      </c>
      <c r="CA33" s="74" t="s">
        <v>1741</v>
      </c>
      <c r="CB33" s="57" t="s">
        <v>1775</v>
      </c>
      <c r="CC33" s="57" t="s">
        <v>1491</v>
      </c>
      <c r="CD33" s="57">
        <v>125</v>
      </c>
      <c r="CE33" s="58">
        <v>79.04392</v>
      </c>
      <c r="CF33" s="58">
        <f>IFERROR(Table6[[#This Row],[Redbook WAC price per tablet/capsule (Jul 2022)]]/Table6[[#This Row],[Redbook package strength (mg) (Jul 2022)]], "")</f>
        <v>0.63235136000000003</v>
      </c>
      <c r="CG33" s="74" t="s">
        <v>1741</v>
      </c>
      <c r="CH33" s="57" t="s">
        <v>1775</v>
      </c>
      <c r="CI33" s="57" t="s">
        <v>1491</v>
      </c>
      <c r="CJ33" s="57">
        <v>125</v>
      </c>
      <c r="CK33" s="58">
        <v>79.04392</v>
      </c>
      <c r="CL33" s="58">
        <f>IFERROR(Table6[[#This Row],[Redbook WAC price per tablet/capsule (Jan 2023)]]/Table6[[#This Row],[Redbook package strength (mg) (Jan 2023)]], "")</f>
        <v>0.63235136000000003</v>
      </c>
      <c r="CM33" s="57" t="s">
        <v>1741</v>
      </c>
    </row>
    <row r="34" spans="1:92" x14ac:dyDescent="0.3">
      <c r="A34" s="85" t="s">
        <v>69</v>
      </c>
      <c r="B34" s="57"/>
      <c r="C34" s="57"/>
      <c r="D34" s="57"/>
      <c r="E34" s="57"/>
      <c r="F34" s="57" t="str">
        <f>IFERROR(Table6[[#This Row],[Redbook WAC price per tablet/capsule (Jan 2016)]]/Table6[[#This Row],[Redbook package strength (mg) (Jan 2016)]], "")</f>
        <v/>
      </c>
      <c r="G34" s="74"/>
      <c r="H34" s="57"/>
      <c r="I34" s="57"/>
      <c r="J34" s="57"/>
      <c r="K34" s="57"/>
      <c r="L34" s="57" t="str">
        <f>IFERROR(Table6[[#This Row],[Redbook WAC price per tablet/capsule (Jul 2016)]]/Table6[[#This Row],[Redbook package strength (mg) (Jul 2016)]], "")</f>
        <v/>
      </c>
      <c r="M34" s="74"/>
      <c r="N34" s="57"/>
      <c r="O34" s="57"/>
      <c r="P34" s="57"/>
      <c r="Q34" s="57"/>
      <c r="R34" s="57" t="str">
        <f>IFERROR(Table6[[#This Row],[Redbook WAC price per tablet/capsule (Jan 2017)]]/Table6[[#This Row],[Redbook package strength (mg) (Jan 2017)]], "")</f>
        <v/>
      </c>
      <c r="S34" s="74"/>
      <c r="T34" s="57"/>
      <c r="U34" s="57"/>
      <c r="V34" s="57"/>
      <c r="W34" s="284"/>
      <c r="X34" s="284" t="str">
        <f>IFERROR(Table6[[#This Row],[Redbook WAC price per tablet/capsule (Jul 2017)]]/Table6[[#This Row],[Redbook package strength (mg) (Jul 2017)]], "")</f>
        <v/>
      </c>
      <c r="Y34" s="57"/>
      <c r="Z34" s="388"/>
      <c r="AA34" s="389"/>
      <c r="AB34" s="158"/>
      <c r="AC34" s="390"/>
      <c r="AD34" s="390"/>
      <c r="AE34" s="391"/>
      <c r="AF34" s="388"/>
      <c r="AG34" s="389"/>
      <c r="AH34" s="397"/>
      <c r="AI34" s="399"/>
      <c r="AJ34" s="399"/>
      <c r="AK34" s="391"/>
      <c r="AL34" s="57" t="s">
        <v>1776</v>
      </c>
      <c r="AM34" s="57" t="s">
        <v>1492</v>
      </c>
      <c r="AN34" s="57">
        <v>75</v>
      </c>
      <c r="AO34" s="58">
        <v>60.9833</v>
      </c>
      <c r="AP34" s="58">
        <f>IFERROR(Table6[[#This Row],[Redbook WAC price per tablet/capsule (Jan 2019)]]/Table6[[#This Row],[Redbook package strength (mg) (Jan 2019)]], "")</f>
        <v>0.81311066666666665</v>
      </c>
      <c r="AQ34" s="74" t="s">
        <v>1741</v>
      </c>
      <c r="AR34" s="73" t="s">
        <v>1776</v>
      </c>
      <c r="AS34" s="57" t="s">
        <v>1492</v>
      </c>
      <c r="AT34" s="57">
        <v>75</v>
      </c>
      <c r="AU34" s="58">
        <v>63.883299999999998</v>
      </c>
      <c r="AV34" s="58">
        <f>IFERROR(Table6[[#This Row],[Redbook WAC price per tablet/capsule (Jul 2019)]]/Table6[[#This Row],[Redbook package strength (mg) (Jul 2019)]], "")</f>
        <v>0.85177733333333328</v>
      </c>
      <c r="AW34" s="74" t="s">
        <v>1741</v>
      </c>
      <c r="AX34" s="73" t="s">
        <v>1776</v>
      </c>
      <c r="AY34" s="57" t="s">
        <v>1492</v>
      </c>
      <c r="AZ34" s="57">
        <v>75</v>
      </c>
      <c r="BA34" s="59">
        <v>67.716300000000004</v>
      </c>
      <c r="BB34" s="59">
        <f>IFERROR(Table6[[#This Row],[Redbook WAC price per tablet/capsule (Jan 2020)]]/Table6[[#This Row],[Redbook package strength (mg) (Jan 2020)]], "")</f>
        <v>0.90288400000000002</v>
      </c>
      <c r="BC34" t="s">
        <v>1741</v>
      </c>
      <c r="BD34" s="73" t="s">
        <v>1776</v>
      </c>
      <c r="BE34" s="57" t="s">
        <v>1492</v>
      </c>
      <c r="BF34" s="57">
        <v>75</v>
      </c>
      <c r="BG34" s="58">
        <v>67.716300000000004</v>
      </c>
      <c r="BH34" s="58">
        <f>IFERROR(Table6[[#This Row],[Redbook WAC price per tablet/capsule (Jul 2020)]]/Table6[[#This Row],[Redbook package strength (mg) (Jul 2020)]], "")</f>
        <v>0.90288400000000002</v>
      </c>
      <c r="BI34" s="74" t="s">
        <v>1741</v>
      </c>
      <c r="BJ34" s="57" t="s">
        <v>1776</v>
      </c>
      <c r="BK34" s="57" t="s">
        <v>1492</v>
      </c>
      <c r="BL34" s="57">
        <v>75</v>
      </c>
      <c r="BM34" s="58">
        <v>70.424999999999997</v>
      </c>
      <c r="BN34" s="58">
        <f>IFERROR(Table6[[#This Row],[Redbook WAC price per tablet/capsule (Jan 2021)]]/Table6[[#This Row],[Redbook package strength (mg) (Jan 2021)]], "")</f>
        <v>0.93899999999999995</v>
      </c>
      <c r="BO34" s="57" t="s">
        <v>1741</v>
      </c>
      <c r="BP34" s="73" t="s">
        <v>1776</v>
      </c>
      <c r="BQ34" s="57" t="s">
        <v>1492</v>
      </c>
      <c r="BR34" s="57">
        <v>75</v>
      </c>
      <c r="BS34" s="58">
        <v>70.424999999999997</v>
      </c>
      <c r="BT34" s="58">
        <f>IFERROR(Table6[[#This Row],[Redbook WAC price per tablet/capsule (Jul 2021)]]/Table6[[#This Row],[Redbook package strength (mg) (Jul 2021)]], "")</f>
        <v>0.93899999999999995</v>
      </c>
      <c r="BU34" s="57" t="s">
        <v>1741</v>
      </c>
      <c r="BV34" s="186" t="s">
        <v>1776</v>
      </c>
      <c r="BW34" s="158" t="s">
        <v>1492</v>
      </c>
      <c r="BX34" s="57">
        <v>75</v>
      </c>
      <c r="BY34" s="58">
        <v>74.290000000000006</v>
      </c>
      <c r="BZ34" s="58">
        <f>IFERROR(Table6[[#This Row],[Redbook WAC price per tablet/capsule (Jan 2022)]]/Table6[[#This Row],[Redbook package strength (mg) (Jan 2022)]], "")</f>
        <v>0.99053333333333338</v>
      </c>
      <c r="CA34" s="74" t="s">
        <v>1741</v>
      </c>
      <c r="CB34" s="57" t="s">
        <v>1776</v>
      </c>
      <c r="CC34" s="57" t="s">
        <v>1492</v>
      </c>
      <c r="CD34" s="57">
        <v>75</v>
      </c>
      <c r="CE34" s="58">
        <v>74.298389999999998</v>
      </c>
      <c r="CF34" s="58">
        <f>IFERROR(Table6[[#This Row],[Redbook WAC price per tablet/capsule (Jul 2022)]]/Table6[[#This Row],[Redbook package strength (mg) (Jul 2022)]], "")</f>
        <v>0.9906452</v>
      </c>
      <c r="CG34" s="74" t="s">
        <v>1741</v>
      </c>
      <c r="CH34" s="57" t="s">
        <v>1776</v>
      </c>
      <c r="CI34" s="57" t="s">
        <v>1492</v>
      </c>
      <c r="CJ34" s="57">
        <v>75</v>
      </c>
      <c r="CK34" s="58">
        <v>80.167940000000002</v>
      </c>
      <c r="CL34" s="58">
        <f>IFERROR(Table6[[#This Row],[Redbook WAC price per tablet/capsule (Jan 2023)]]/Table6[[#This Row],[Redbook package strength (mg) (Jan 2023)]], "")</f>
        <v>1.0689058666666666</v>
      </c>
      <c r="CM34" s="57" t="s">
        <v>1741</v>
      </c>
    </row>
    <row r="35" spans="1:92" x14ac:dyDescent="0.3">
      <c r="A35" s="83" t="s">
        <v>71</v>
      </c>
      <c r="B35" s="57" t="s">
        <v>1777</v>
      </c>
      <c r="C35" s="57" t="s">
        <v>1493</v>
      </c>
      <c r="D35" s="57">
        <v>40</v>
      </c>
      <c r="E35" s="57">
        <v>157.703966667</v>
      </c>
      <c r="F35" s="57">
        <f>IFERROR(Table6[[#This Row],[Redbook WAC price per tablet/capsule (Jan 2016)]]/Table6[[#This Row],[Redbook package strength (mg) (Jan 2016)]], "")</f>
        <v>3.942599166675</v>
      </c>
      <c r="G35" s="74" t="s">
        <v>1741</v>
      </c>
      <c r="H35" s="57" t="s">
        <v>1777</v>
      </c>
      <c r="I35" s="57" t="s">
        <v>1493</v>
      </c>
      <c r="J35" s="57">
        <v>40</v>
      </c>
      <c r="K35" s="57">
        <v>164.80059166699999</v>
      </c>
      <c r="L35" s="57">
        <f>IFERROR(Table6[[#This Row],[Redbook WAC price per tablet/capsule (Jul 2016)]]/Table6[[#This Row],[Redbook package strength (mg) (Jul 2016)]], "")</f>
        <v>4.1200147916749996</v>
      </c>
      <c r="M35" s="74" t="s">
        <v>1741</v>
      </c>
      <c r="N35" s="57" t="s">
        <v>1777</v>
      </c>
      <c r="O35" s="57" t="s">
        <v>1493</v>
      </c>
      <c r="P35" s="57">
        <v>40</v>
      </c>
      <c r="Q35" s="57">
        <v>177.160616667</v>
      </c>
      <c r="R35" s="57">
        <f>IFERROR(Table6[[#This Row],[Redbook WAC price per tablet/capsule (Jan 2017)]]/Table6[[#This Row],[Redbook package strength (mg) (Jan 2017)]], "")</f>
        <v>4.429015416675</v>
      </c>
      <c r="S35" s="74" t="s">
        <v>1741</v>
      </c>
      <c r="T35" s="57" t="s">
        <v>1777</v>
      </c>
      <c r="U35" s="57" t="s">
        <v>1493</v>
      </c>
      <c r="V35" s="57">
        <v>40</v>
      </c>
      <c r="W35" s="284">
        <f>(212.59274/1.2)</f>
        <v>177.16061666666667</v>
      </c>
      <c r="X35" s="284">
        <f>IFERROR(Table6[[#This Row],[Redbook WAC price per tablet/capsule (Jul 2017)]]/Table6[[#This Row],[Redbook package strength (mg) (Jul 2017)]], "")</f>
        <v>4.4290154166666671</v>
      </c>
      <c r="Y35" s="57" t="s">
        <v>1741</v>
      </c>
      <c r="Z35" s="388" t="s">
        <v>1777</v>
      </c>
      <c r="AA35" s="389" t="s">
        <v>1493</v>
      </c>
      <c r="AB35" s="158">
        <v>40</v>
      </c>
      <c r="AC35" s="390">
        <v>186.01855</v>
      </c>
      <c r="AD35" s="390">
        <f>Table6[[#This Row],[Redbook WAC price per tablet/capsule (Jan 2018)]]/Table6[[#This Row],[Redbook package strength (mg) (Jan 2018)]]</f>
        <v>4.6504637500000001</v>
      </c>
      <c r="AE35" s="391" t="s">
        <v>1741</v>
      </c>
      <c r="AF35" s="388" t="s">
        <v>1777</v>
      </c>
      <c r="AG35" s="389" t="s">
        <v>1493</v>
      </c>
      <c r="AH35" s="397">
        <v>40</v>
      </c>
      <c r="AI35" s="399">
        <v>200.71408333333335</v>
      </c>
      <c r="AJ35" s="399">
        <f>Table6[[#This Row],[Redbook WAC price per tablet/capsule (Jul 2018)]]/Table6[[#This Row],[Redbook package strength (mg) (Jul 2018)]]</f>
        <v>5.0178520833333335</v>
      </c>
      <c r="AK35" s="391" t="s">
        <v>1741</v>
      </c>
      <c r="AL35" s="57" t="s">
        <v>1777</v>
      </c>
      <c r="AM35" s="57" t="s">
        <v>1493</v>
      </c>
      <c r="AN35" s="57">
        <v>40</v>
      </c>
      <c r="AO35" s="58">
        <v>200.7141</v>
      </c>
      <c r="AP35" s="58">
        <f>IFERROR(Table6[[#This Row],[Redbook WAC price per tablet/capsule (Jan 2019)]]/Table6[[#This Row],[Redbook package strength (mg) (Jan 2019)]], "")</f>
        <v>5.0178525</v>
      </c>
      <c r="AQ35" s="74" t="s">
        <v>1741</v>
      </c>
      <c r="AR35" s="73" t="s">
        <v>1777</v>
      </c>
      <c r="AS35" s="57" t="s">
        <v>1493</v>
      </c>
      <c r="AT35" s="57">
        <v>40</v>
      </c>
      <c r="AU35" s="58">
        <v>206.73</v>
      </c>
      <c r="AV35" s="58">
        <f>IFERROR(Table6[[#This Row],[Redbook WAC price per tablet/capsule (Jul 2019)]]/Table6[[#This Row],[Redbook package strength (mg) (Jul 2019)]], "")</f>
        <v>5.1682499999999996</v>
      </c>
      <c r="AW35" s="74" t="s">
        <v>1741</v>
      </c>
      <c r="AX35" s="73" t="s">
        <v>1777</v>
      </c>
      <c r="AY35" s="57" t="s">
        <v>1493</v>
      </c>
      <c r="AZ35" s="57">
        <v>40</v>
      </c>
      <c r="BA35" s="59">
        <v>206.73</v>
      </c>
      <c r="BB35" s="59">
        <f>IFERROR(Table6[[#This Row],[Redbook WAC price per tablet/capsule (Jan 2020)]]/Table6[[#This Row],[Redbook package strength (mg) (Jan 2020)]], "")</f>
        <v>5.1682499999999996</v>
      </c>
      <c r="BC35" t="s">
        <v>1741</v>
      </c>
      <c r="BD35" s="73" t="s">
        <v>1777</v>
      </c>
      <c r="BE35" s="57" t="s">
        <v>1493</v>
      </c>
      <c r="BF35" s="57">
        <v>40</v>
      </c>
      <c r="BG35" s="58">
        <v>214.8</v>
      </c>
      <c r="BH35" s="58">
        <f>IFERROR(Table6[[#This Row],[Redbook WAC price per tablet/capsule (Jul 2020)]]/Table6[[#This Row],[Redbook package strength (mg) (Jul 2020)]], "")</f>
        <v>5.37</v>
      </c>
      <c r="BI35" s="74" t="s">
        <v>1741</v>
      </c>
      <c r="BJ35" s="57" t="s">
        <v>1777</v>
      </c>
      <c r="BK35" s="57" t="s">
        <v>1493</v>
      </c>
      <c r="BL35" s="57">
        <v>40</v>
      </c>
      <c r="BM35" s="58">
        <v>223.17995999999999</v>
      </c>
      <c r="BN35" s="58">
        <f>IFERROR(Table6[[#This Row],[Redbook WAC price per tablet/capsule (Jan 2021)]]/Table6[[#This Row],[Redbook package strength (mg) (Jan 2021)]], "")</f>
        <v>5.5794990000000002</v>
      </c>
      <c r="BO35" s="57" t="s">
        <v>1741</v>
      </c>
      <c r="BP35" s="73" t="s">
        <v>1777</v>
      </c>
      <c r="BQ35" s="57" t="s">
        <v>1493</v>
      </c>
      <c r="BR35" s="57">
        <v>40</v>
      </c>
      <c r="BS35" s="58">
        <v>223.17995999999999</v>
      </c>
      <c r="BT35" s="58">
        <f>IFERROR(Table6[[#This Row],[Redbook WAC price per tablet/capsule (Jul 2021)]]/Table6[[#This Row],[Redbook package strength (mg) (Jul 2021)]], "")</f>
        <v>5.5794990000000002</v>
      </c>
      <c r="BU35" s="57" t="s">
        <v>1741</v>
      </c>
      <c r="BV35" s="186" t="s">
        <v>1777</v>
      </c>
      <c r="BW35" s="158" t="s">
        <v>1493</v>
      </c>
      <c r="BX35" s="57">
        <v>40</v>
      </c>
      <c r="BY35" s="58">
        <v>234.12</v>
      </c>
      <c r="BZ35" s="58">
        <f>IFERROR(Table6[[#This Row],[Redbook WAC price per tablet/capsule (Jan 2022)]]/Table6[[#This Row],[Redbook package strength (mg) (Jan 2022)]], "")</f>
        <v>5.8529999999999998</v>
      </c>
      <c r="CA35" s="74" t="s">
        <v>1741</v>
      </c>
      <c r="CB35" s="57" t="s">
        <v>1777</v>
      </c>
      <c r="CC35" s="57" t="s">
        <v>1493</v>
      </c>
      <c r="CD35" s="57">
        <v>40</v>
      </c>
      <c r="CE35" s="58">
        <v>243.48</v>
      </c>
      <c r="CF35" s="247">
        <f>IFERROR(Table6[[#This Row],[Redbook WAC price per tablet/capsule (Jul 2022)]]/Table6[[#This Row],[Redbook package strength (mg) (Jul 2022)]], "")</f>
        <v>6.0869999999999997</v>
      </c>
      <c r="CG35" s="74" t="s">
        <v>1741</v>
      </c>
      <c r="CH35" s="57" t="s">
        <v>1777</v>
      </c>
      <c r="CI35" s="57" t="s">
        <v>1493</v>
      </c>
      <c r="CJ35" s="57">
        <v>40</v>
      </c>
      <c r="CK35" s="58">
        <v>257.48</v>
      </c>
      <c r="CL35" s="58">
        <f>IFERROR(Table6[[#This Row],[Redbook WAC price per tablet/capsule (Jan 2023)]]/Table6[[#This Row],[Redbook package strength (mg) (Jan 2023)]], "")</f>
        <v>6.4370000000000003</v>
      </c>
      <c r="CM35" s="57" t="s">
        <v>1741</v>
      </c>
    </row>
    <row r="36" spans="1:92" x14ac:dyDescent="0.3">
      <c r="A36" s="85" t="s">
        <v>72</v>
      </c>
      <c r="B36" s="57" t="s">
        <v>1778</v>
      </c>
      <c r="C36" s="57" t="s">
        <v>1495</v>
      </c>
      <c r="D36" s="57">
        <v>20</v>
      </c>
      <c r="E36" s="57">
        <v>182.46208333300001</v>
      </c>
      <c r="F36" s="57">
        <f>IFERROR(Table6[[#This Row],[Redbook WAC price per tablet/capsule (Jan 2016)]]/Table6[[#This Row],[Redbook package strength (mg) (Jan 2016)]], "")</f>
        <v>9.1231041666500001</v>
      </c>
      <c r="G36" s="74" t="s">
        <v>1741</v>
      </c>
      <c r="H36" s="57" t="s">
        <v>1778</v>
      </c>
      <c r="I36" s="57" t="s">
        <v>1495</v>
      </c>
      <c r="J36" s="57">
        <v>20</v>
      </c>
      <c r="K36" s="57">
        <v>182.46208333300001</v>
      </c>
      <c r="L36" s="57">
        <f>IFERROR(Table6[[#This Row],[Redbook WAC price per tablet/capsule (Jul 2016)]]/Table6[[#This Row],[Redbook package strength (mg) (Jul 2016)]], "")</f>
        <v>9.1231041666500001</v>
      </c>
      <c r="M36" s="74" t="s">
        <v>1741</v>
      </c>
      <c r="N36" s="57" t="s">
        <v>1778</v>
      </c>
      <c r="O36" s="57" t="s">
        <v>1495</v>
      </c>
      <c r="P36" s="57">
        <v>20</v>
      </c>
      <c r="Q36" s="57">
        <v>190.125416667</v>
      </c>
      <c r="R36" s="57">
        <f>IFERROR(Table6[[#This Row],[Redbook WAC price per tablet/capsule (Jan 2017)]]/Table6[[#This Row],[Redbook package strength (mg) (Jan 2017)]], "")</f>
        <v>9.5062708333499994</v>
      </c>
      <c r="S36" s="74" t="s">
        <v>1741</v>
      </c>
      <c r="T36" s="57" t="s">
        <v>1778</v>
      </c>
      <c r="U36" s="57" t="s">
        <v>1495</v>
      </c>
      <c r="V36" s="57">
        <v>20</v>
      </c>
      <c r="W36" s="284">
        <f>(237.96083/1.2)</f>
        <v>198.30069166666667</v>
      </c>
      <c r="X36" s="284">
        <f>IFERROR(Table6[[#This Row],[Redbook WAC price per tablet/capsule (Jul 2017)]]/Table6[[#This Row],[Redbook package strength (mg) (Jul 2017)]], "")</f>
        <v>9.915034583333334</v>
      </c>
      <c r="Y36" s="57" t="s">
        <v>1741</v>
      </c>
      <c r="Z36" s="388" t="s">
        <v>1778</v>
      </c>
      <c r="AA36" s="389" t="s">
        <v>1495</v>
      </c>
      <c r="AB36" s="158">
        <v>20</v>
      </c>
      <c r="AC36" s="390">
        <v>148.72541666666666</v>
      </c>
      <c r="AD36" s="390">
        <f>Table6[[#This Row],[Redbook WAC price per tablet/capsule (Jan 2018)]]/Table6[[#This Row],[Redbook package strength (mg) (Jan 2018)]]</f>
        <v>7.4362708333333334</v>
      </c>
      <c r="AE36" s="391" t="s">
        <v>1741</v>
      </c>
      <c r="AF36" s="388" t="s">
        <v>1778</v>
      </c>
      <c r="AG36" s="389" t="s">
        <v>1495</v>
      </c>
      <c r="AH36" s="397">
        <v>20</v>
      </c>
      <c r="AI36" s="399">
        <v>208.71208333333334</v>
      </c>
      <c r="AJ36" s="399">
        <f>Table6[[#This Row],[Redbook WAC price per tablet/capsule (Jul 2018)]]/Table6[[#This Row],[Redbook package strength (mg) (Jul 2018)]]</f>
        <v>10.435604166666668</v>
      </c>
      <c r="AK36" s="391" t="s">
        <v>1741</v>
      </c>
      <c r="AL36" s="57" t="s">
        <v>1778</v>
      </c>
      <c r="AM36" s="57" t="s">
        <v>1495</v>
      </c>
      <c r="AN36" s="57">
        <v>20</v>
      </c>
      <c r="AO36" s="58">
        <v>208.71199999999999</v>
      </c>
      <c r="AP36" s="58">
        <f>IFERROR(Table6[[#This Row],[Redbook WAC price per tablet/capsule (Jan 2019)]]/Table6[[#This Row],[Redbook package strength (mg) (Jan 2019)]], "")</f>
        <v>10.435599999999999</v>
      </c>
      <c r="AQ36" s="74" t="s">
        <v>1741</v>
      </c>
      <c r="AR36" s="73" t="s">
        <v>1778</v>
      </c>
      <c r="AS36" s="57" t="s">
        <v>1495</v>
      </c>
      <c r="AT36" s="57">
        <v>20</v>
      </c>
      <c r="AU36" s="58">
        <v>219.98249999999999</v>
      </c>
      <c r="AV36" s="58">
        <f>IFERROR(Table6[[#This Row],[Redbook WAC price per tablet/capsule (Jul 2019)]]/Table6[[#This Row],[Redbook package strength (mg) (Jul 2019)]], "")</f>
        <v>10.999124999999999</v>
      </c>
      <c r="AW36" s="74" t="s">
        <v>1741</v>
      </c>
      <c r="AX36" s="73" t="s">
        <v>1778</v>
      </c>
      <c r="AY36" s="57" t="s">
        <v>1495</v>
      </c>
      <c r="AZ36" s="57">
        <v>20</v>
      </c>
      <c r="BA36" s="59">
        <v>219.98249999999999</v>
      </c>
      <c r="BB36" s="59">
        <f>IFERROR(Table6[[#This Row],[Redbook WAC price per tablet/capsule (Jan 2020)]]/Table6[[#This Row],[Redbook package strength (mg) (Jan 2020)]], "")</f>
        <v>10.999124999999999</v>
      </c>
      <c r="BC36" t="s">
        <v>1741</v>
      </c>
      <c r="BD36" s="73" t="s">
        <v>1778</v>
      </c>
      <c r="BE36" s="57" t="s">
        <v>1495</v>
      </c>
      <c r="BF36" s="57">
        <v>20</v>
      </c>
      <c r="BG36" s="58">
        <v>229.22200000000001</v>
      </c>
      <c r="BH36" s="58">
        <f>IFERROR(Table6[[#This Row],[Redbook WAC price per tablet/capsule (Jul 2020)]]/Table6[[#This Row],[Redbook package strength (mg) (Jul 2020)]], "")</f>
        <v>11.4611</v>
      </c>
      <c r="BI36" s="74" t="s">
        <v>1741</v>
      </c>
      <c r="BJ36" s="57" t="s">
        <v>1778</v>
      </c>
      <c r="BK36" s="57" t="s">
        <v>1495</v>
      </c>
      <c r="BL36" s="57">
        <v>20</v>
      </c>
      <c r="BM36" s="58">
        <v>229.22200000000001</v>
      </c>
      <c r="BN36" s="58">
        <f>IFERROR(Table6[[#This Row],[Redbook WAC price per tablet/capsule (Jan 2021)]]/Table6[[#This Row],[Redbook package strength (mg) (Jan 2021)]], "")</f>
        <v>11.4611</v>
      </c>
      <c r="BO36" s="57" t="s">
        <v>1741</v>
      </c>
      <c r="BP36" s="73" t="s">
        <v>1778</v>
      </c>
      <c r="BQ36" s="57" t="s">
        <v>1495</v>
      </c>
      <c r="BR36" s="57">
        <v>20</v>
      </c>
      <c r="BS36" s="58">
        <v>238.96417</v>
      </c>
      <c r="BT36" s="58">
        <f>IFERROR(Table6[[#This Row],[Redbook WAC price per tablet/capsule (Jul 2021)]]/Table6[[#This Row],[Redbook package strength (mg) (Jul 2021)]], "")</f>
        <v>11.9482085</v>
      </c>
      <c r="BU36" s="57" t="s">
        <v>1741</v>
      </c>
      <c r="BV36" s="186" t="s">
        <v>1778</v>
      </c>
      <c r="BW36" s="158" t="s">
        <v>1495</v>
      </c>
      <c r="BX36" s="57">
        <v>20</v>
      </c>
      <c r="BY36" s="58">
        <v>238.964167</v>
      </c>
      <c r="BZ36" s="58">
        <f>IFERROR(Table6[[#This Row],[Redbook WAC price per tablet/capsule (Jan 2022)]]/Table6[[#This Row],[Redbook package strength (mg) (Jan 2022)]], "")</f>
        <v>11.94820835</v>
      </c>
      <c r="CA36" s="74" t="s">
        <v>1741</v>
      </c>
      <c r="CB36" s="57" t="s">
        <v>1778</v>
      </c>
      <c r="CC36" s="57" t="s">
        <v>1495</v>
      </c>
      <c r="CD36" s="57">
        <v>20</v>
      </c>
      <c r="CE36" s="58">
        <v>250.673</v>
      </c>
      <c r="CF36" s="247">
        <f>IFERROR(Table6[[#This Row],[Redbook WAC price per tablet/capsule (Jul 2022)]]/Table6[[#This Row],[Redbook package strength (mg) (Jul 2022)]], "")</f>
        <v>12.53365</v>
      </c>
      <c r="CG36" s="74" t="s">
        <v>1741</v>
      </c>
      <c r="CH36" s="57" t="s">
        <v>1778</v>
      </c>
      <c r="CI36" s="57" t="s">
        <v>1495</v>
      </c>
      <c r="CJ36" s="57">
        <v>20</v>
      </c>
      <c r="CK36" s="58">
        <v>265.58800000000002</v>
      </c>
      <c r="CL36" s="58">
        <f>IFERROR(Table6[[#This Row],[Redbook WAC price per tablet/capsule (Jan 2023)]]/Table6[[#This Row],[Redbook package strength (mg) (Jan 2023)]], "")</f>
        <v>13.279400000000001</v>
      </c>
      <c r="CM36" s="57" t="s">
        <v>1741</v>
      </c>
      <c r="CN36" s="1" t="s">
        <v>1680</v>
      </c>
    </row>
    <row r="37" spans="1:92" x14ac:dyDescent="0.3">
      <c r="A37" s="138" t="s">
        <v>78</v>
      </c>
      <c r="B37" s="57" t="s">
        <v>2671</v>
      </c>
      <c r="C37" s="57" t="s">
        <v>1852</v>
      </c>
      <c r="D37" s="57">
        <v>5</v>
      </c>
      <c r="E37" s="57">
        <v>6.25</v>
      </c>
      <c r="F37" s="57">
        <f>IFERROR(Table6[[#This Row],[Redbook WAC price per tablet/capsule (Jan 2016)]]/Table6[[#This Row],[Redbook package strength (mg) (Jan 2016)]], "")</f>
        <v>1.25</v>
      </c>
      <c r="G37" s="74" t="s">
        <v>1741</v>
      </c>
      <c r="H37" s="57" t="s">
        <v>2671</v>
      </c>
      <c r="I37" s="57" t="s">
        <v>1852</v>
      </c>
      <c r="J37" s="57">
        <v>5</v>
      </c>
      <c r="K37" s="57">
        <v>6.25</v>
      </c>
      <c r="L37" s="57">
        <f>IFERROR(Table6[[#This Row],[Redbook WAC price per tablet/capsule (Jul 2016)]]/Table6[[#This Row],[Redbook package strength (mg) (Jul 2016)]], "")</f>
        <v>1.25</v>
      </c>
      <c r="M37" s="74" t="s">
        <v>1741</v>
      </c>
      <c r="N37" s="57" t="s">
        <v>2449</v>
      </c>
      <c r="O37" s="57" t="s">
        <v>1852</v>
      </c>
      <c r="P37" s="57">
        <v>5</v>
      </c>
      <c r="Q37" s="57">
        <v>5.2083333333299997</v>
      </c>
      <c r="R37" s="57">
        <f>IFERROR(Table6[[#This Row],[Redbook WAC price per tablet/capsule (Jan 2017)]]/Table6[[#This Row],[Redbook package strength (mg) (Jan 2017)]], "")</f>
        <v>1.0416666666659999</v>
      </c>
      <c r="S37" s="74" t="s">
        <v>1741</v>
      </c>
      <c r="T37" s="57" t="s">
        <v>2449</v>
      </c>
      <c r="U37" s="57" t="s">
        <v>1852</v>
      </c>
      <c r="V37" s="57">
        <v>5</v>
      </c>
      <c r="W37" s="284">
        <v>6.25</v>
      </c>
      <c r="X37" s="284">
        <f>IFERROR(Table6[[#This Row],[Redbook WAC price per tablet/capsule (Jul 2017)]]/Table6[[#This Row],[Redbook package strength (mg) (Jul 2017)]], "")</f>
        <v>1.25</v>
      </c>
      <c r="Y37" s="57" t="s">
        <v>1741</v>
      </c>
      <c r="Z37" s="388" t="s">
        <v>1845</v>
      </c>
      <c r="AA37" s="389" t="s">
        <v>1852</v>
      </c>
      <c r="AB37" s="158">
        <v>5</v>
      </c>
      <c r="AC37" s="390">
        <v>6.25</v>
      </c>
      <c r="AD37" s="390">
        <f>Table6[[#This Row],[Redbook WAC price per tablet/capsule (Jan 2018)]]/Table6[[#This Row],[Redbook package strength (mg) (Jan 2018)]]</f>
        <v>1.25</v>
      </c>
      <c r="AE37" s="391" t="s">
        <v>1862</v>
      </c>
      <c r="AF37" s="388" t="s">
        <v>1860</v>
      </c>
      <c r="AG37" s="389" t="s">
        <v>1852</v>
      </c>
      <c r="AH37" s="397">
        <v>5</v>
      </c>
      <c r="AI37" s="399">
        <v>6.25</v>
      </c>
      <c r="AJ37" s="399">
        <f>Table6[[#This Row],[Redbook WAC price per tablet/capsule (Jul 2018)]]/Table6[[#This Row],[Redbook package strength (mg) (Jul 2018)]]</f>
        <v>1.25</v>
      </c>
      <c r="AK37" s="391" t="s">
        <v>1862</v>
      </c>
      <c r="AL37" s="57" t="s">
        <v>1860</v>
      </c>
      <c r="AM37" s="57" t="s">
        <v>1852</v>
      </c>
      <c r="AN37" s="57">
        <v>5</v>
      </c>
      <c r="AO37" s="58">
        <v>6.25</v>
      </c>
      <c r="AP37" s="58">
        <f>IFERROR(Table6[[#This Row],[Redbook WAC price per tablet/capsule (Jan 2019)]]/Table6[[#This Row],[Redbook package strength (mg) (Jan 2019)]], "")</f>
        <v>1.25</v>
      </c>
      <c r="AQ37" s="74" t="s">
        <v>1862</v>
      </c>
      <c r="AR37" s="73" t="s">
        <v>1860</v>
      </c>
      <c r="AS37" s="57" t="s">
        <v>1852</v>
      </c>
      <c r="AT37" s="57">
        <v>5</v>
      </c>
      <c r="AU37" s="58">
        <v>6.25</v>
      </c>
      <c r="AV37" s="58">
        <f>IFERROR(Table6[[#This Row],[Redbook WAC price per tablet/capsule (Jul 2019)]]/Table6[[#This Row],[Redbook package strength (mg) (Jul 2019)]], "")</f>
        <v>1.25</v>
      </c>
      <c r="AW37" s="74" t="s">
        <v>1862</v>
      </c>
      <c r="AX37" s="73" t="s">
        <v>1860</v>
      </c>
      <c r="AY37" s="57" t="s">
        <v>1852</v>
      </c>
      <c r="AZ37" s="57">
        <v>5</v>
      </c>
      <c r="BA37" s="58">
        <v>6.25</v>
      </c>
      <c r="BB37" s="59">
        <f>IFERROR(Table6[[#This Row],[Redbook WAC price per tablet/capsule (Jan 2020)]]/Table6[[#This Row],[Redbook package strength (mg) (Jan 2020)]], "")</f>
        <v>1.25</v>
      </c>
      <c r="BC37" t="s">
        <v>1862</v>
      </c>
      <c r="BD37" s="73" t="s">
        <v>1860</v>
      </c>
      <c r="BE37" s="57" t="s">
        <v>1852</v>
      </c>
      <c r="BF37" s="57">
        <v>5</v>
      </c>
      <c r="BG37" s="58">
        <v>6.25</v>
      </c>
      <c r="BH37" s="58">
        <f>IFERROR(Table6[[#This Row],[Redbook WAC price per tablet/capsule (Jul 2020)]]/Table6[[#This Row],[Redbook package strength (mg) (Jul 2020)]], "")</f>
        <v>1.25</v>
      </c>
      <c r="BI37" s="74" t="s">
        <v>1862</v>
      </c>
      <c r="BJ37" s="57" t="s">
        <v>1860</v>
      </c>
      <c r="BK37" s="57" t="s">
        <v>1852</v>
      </c>
      <c r="BL37" s="57">
        <v>5</v>
      </c>
      <c r="BM37" s="58">
        <v>2.0833300000000001</v>
      </c>
      <c r="BN37" s="58">
        <f>IFERROR(Table6[[#This Row],[Redbook WAC price per tablet/capsule (Jan 2021)]]/Table6[[#This Row],[Redbook package strength (mg) (Jan 2021)]], "")</f>
        <v>0.41666600000000004</v>
      </c>
      <c r="BO37" s="57" t="s">
        <v>1862</v>
      </c>
      <c r="BP37" s="73" t="s">
        <v>1860</v>
      </c>
      <c r="BQ37" s="57" t="s">
        <v>1852</v>
      </c>
      <c r="BR37" s="57">
        <v>5</v>
      </c>
      <c r="BS37" s="58">
        <v>2.0833300000000001</v>
      </c>
      <c r="BT37" s="58">
        <f>IFERROR(Table6[[#This Row],[Redbook WAC price per tablet/capsule (Jul 2021)]]/Table6[[#This Row],[Redbook package strength (mg) (Jul 2021)]], "")</f>
        <v>0.41666600000000004</v>
      </c>
      <c r="BU37" s="57" t="s">
        <v>1862</v>
      </c>
      <c r="BV37" s="186" t="s">
        <v>1860</v>
      </c>
      <c r="BW37" s="158" t="s">
        <v>1852</v>
      </c>
      <c r="BX37" s="57">
        <v>5</v>
      </c>
      <c r="BY37" s="58">
        <v>2.08</v>
      </c>
      <c r="BZ37" s="58">
        <f>IFERROR(Table6[[#This Row],[Redbook WAC price per tablet/capsule (Jan 2022)]]/Table6[[#This Row],[Redbook package strength (mg) (Jan 2022)]], "")</f>
        <v>0.41600000000000004</v>
      </c>
      <c r="CA37" s="74" t="s">
        <v>1741</v>
      </c>
      <c r="CB37" s="57" t="s">
        <v>1860</v>
      </c>
      <c r="CC37" s="57" t="s">
        <v>1852</v>
      </c>
      <c r="CD37" s="57">
        <v>5</v>
      </c>
      <c r="CE37" s="58">
        <v>2.0833300000000001</v>
      </c>
      <c r="CF37" s="58">
        <f>IFERROR(Table6[[#This Row],[Redbook WAC price per tablet/capsule (Jul 2022)]]/Table6[[#This Row],[Redbook package strength (mg) (Jul 2022)]], "")</f>
        <v>0.41666600000000004</v>
      </c>
      <c r="CG37" s="74" t="s">
        <v>1741</v>
      </c>
      <c r="CH37" s="57" t="s">
        <v>1860</v>
      </c>
      <c r="CI37" s="57" t="s">
        <v>1852</v>
      </c>
      <c r="CJ37" s="57">
        <v>5</v>
      </c>
      <c r="CK37" s="58">
        <v>2.0833300000000001</v>
      </c>
      <c r="CL37" s="58">
        <f>IFERROR(Table6[[#This Row],[Redbook WAC price per tablet/capsule (Jan 2023)]]/Table6[[#This Row],[Redbook package strength (mg) (Jan 2023)]], "")</f>
        <v>0.41666600000000004</v>
      </c>
      <c r="CM37" s="158" t="s">
        <v>1741</v>
      </c>
    </row>
    <row r="38" spans="1:92" x14ac:dyDescent="0.3">
      <c r="A38" s="85" t="s">
        <v>83</v>
      </c>
      <c r="B38" s="57" t="s">
        <v>2636</v>
      </c>
      <c r="C38" s="57" t="s">
        <v>1841</v>
      </c>
      <c r="D38" s="57">
        <v>400</v>
      </c>
      <c r="E38" s="57">
        <v>328.88249999999999</v>
      </c>
      <c r="F38" s="57">
        <f>IFERROR(Table6[[#This Row],[Redbook WAC price per tablet/capsule (Jan 2016)]]/Table6[[#This Row],[Redbook package strength (mg) (Jan 2016)]], "")</f>
        <v>0.82220625000000003</v>
      </c>
      <c r="G38" s="74" t="s">
        <v>1741</v>
      </c>
      <c r="H38" s="57" t="s">
        <v>2636</v>
      </c>
      <c r="I38" s="57" t="s">
        <v>1841</v>
      </c>
      <c r="J38" s="57">
        <v>400</v>
      </c>
      <c r="K38" s="57">
        <v>328.88249999999999</v>
      </c>
      <c r="L38" s="57">
        <f>IFERROR(Table6[[#This Row],[Redbook WAC price per tablet/capsule (Jul 2016)]]/Table6[[#This Row],[Redbook package strength (mg) (Jul 2016)]], "")</f>
        <v>0.82220625000000003</v>
      </c>
      <c r="M38" s="74" t="s">
        <v>1741</v>
      </c>
      <c r="N38" s="57" t="s">
        <v>2636</v>
      </c>
      <c r="O38" s="57" t="s">
        <v>1841</v>
      </c>
      <c r="P38" s="57">
        <v>400</v>
      </c>
      <c r="Q38" s="57">
        <v>328.88249999999999</v>
      </c>
      <c r="R38" s="57">
        <f>IFERROR(Table6[[#This Row],[Redbook WAC price per tablet/capsule (Jan 2017)]]/Table6[[#This Row],[Redbook package strength (mg) (Jan 2017)]], "")</f>
        <v>0.82220625000000003</v>
      </c>
      <c r="S38" s="74" t="s">
        <v>1741</v>
      </c>
      <c r="T38" s="57" t="s">
        <v>2636</v>
      </c>
      <c r="U38" s="248" t="s">
        <v>1841</v>
      </c>
      <c r="V38" s="57">
        <v>400</v>
      </c>
      <c r="W38" s="284">
        <f>(394.659/1.2)</f>
        <v>328.88249999999999</v>
      </c>
      <c r="X38" s="284">
        <f>IFERROR(Table6[[#This Row],[Redbook WAC price per tablet/capsule (Jul 2017)]]/Table6[[#This Row],[Redbook package strength (mg) (Jul 2017)]], "")</f>
        <v>0.82220625000000003</v>
      </c>
      <c r="Y38" s="57" t="s">
        <v>1741</v>
      </c>
      <c r="Z38" s="388" t="s">
        <v>1845</v>
      </c>
      <c r="AA38" s="389" t="s">
        <v>1841</v>
      </c>
      <c r="AB38" s="158">
        <v>400</v>
      </c>
      <c r="AC38" s="390">
        <v>303.66972499999997</v>
      </c>
      <c r="AD38" s="390">
        <f>Table6[[#This Row],[Redbook WAC price per tablet/capsule (Jan 2018)]]/Table6[[#This Row],[Redbook package strength (mg) (Jan 2018)]]</f>
        <v>0.75917431249999989</v>
      </c>
      <c r="AE38" s="391" t="s">
        <v>1741</v>
      </c>
      <c r="AF38" s="388" t="s">
        <v>1845</v>
      </c>
      <c r="AG38" s="389" t="s">
        <v>1841</v>
      </c>
      <c r="AH38" s="397">
        <v>400</v>
      </c>
      <c r="AI38" s="399">
        <v>303.66972499999997</v>
      </c>
      <c r="AJ38" s="399">
        <f>Table6[[#This Row],[Redbook WAC price per tablet/capsule (Jul 2018)]]/Table6[[#This Row],[Redbook package strength (mg) (Jul 2018)]]</f>
        <v>0.75917431249999989</v>
      </c>
      <c r="AK38" s="391" t="s">
        <v>1741</v>
      </c>
      <c r="AL38" s="57" t="s">
        <v>1844</v>
      </c>
      <c r="AM38" s="57" t="s">
        <v>1841</v>
      </c>
      <c r="AN38" s="57">
        <v>400</v>
      </c>
      <c r="AO38" s="58">
        <v>80.169700000000006</v>
      </c>
      <c r="AP38" s="58">
        <f>IFERROR(Table6[[#This Row],[Redbook WAC price per tablet/capsule (Jan 2019)]]/Table6[[#This Row],[Redbook package strength (mg) (Jan 2019)]], "")</f>
        <v>0.20042425000000003</v>
      </c>
      <c r="AQ38" s="74" t="s">
        <v>1741</v>
      </c>
      <c r="AR38" s="73" t="s">
        <v>1845</v>
      </c>
      <c r="AS38" s="57" t="s">
        <v>1841</v>
      </c>
      <c r="AT38" s="57">
        <v>400</v>
      </c>
      <c r="AU38" s="58">
        <v>45.608699999999999</v>
      </c>
      <c r="AV38" s="58">
        <f>IFERROR(Table6[[#This Row],[Redbook WAC price per tablet/capsule (Jul 2019)]]/Table6[[#This Row],[Redbook package strength (mg) (Jul 2019)]], "")</f>
        <v>0.11402174999999999</v>
      </c>
      <c r="AW38" s="74" t="s">
        <v>1741</v>
      </c>
      <c r="AX38" s="73" t="s">
        <v>1844</v>
      </c>
      <c r="AY38" s="57" t="s">
        <v>1841</v>
      </c>
      <c r="AZ38" s="57">
        <v>400</v>
      </c>
      <c r="BA38" s="59">
        <v>14.57333</v>
      </c>
      <c r="BB38" s="59">
        <f>IFERROR(Table6[[#This Row],[Redbook WAC price per tablet/capsule (Jan 2020)]]/Table6[[#This Row],[Redbook package strength (mg) (Jan 2020)]], "")</f>
        <v>3.6433325000000003E-2</v>
      </c>
      <c r="BC38" t="s">
        <v>1741</v>
      </c>
      <c r="BD38" s="73" t="s">
        <v>1844</v>
      </c>
      <c r="BE38" s="57" t="s">
        <v>1841</v>
      </c>
      <c r="BF38" s="57">
        <v>400</v>
      </c>
      <c r="BG38" s="58">
        <v>14.57333</v>
      </c>
      <c r="BH38" s="58">
        <f>IFERROR(Table6[[#This Row],[Redbook WAC price per tablet/capsule (Jul 2020)]]/Table6[[#This Row],[Redbook package strength (mg) (Jul 2020)]], "")</f>
        <v>3.6433325000000003E-2</v>
      </c>
      <c r="BI38" s="74" t="s">
        <v>1741</v>
      </c>
      <c r="BJ38" s="57" t="s">
        <v>1844</v>
      </c>
      <c r="BK38" s="57" t="s">
        <v>1841</v>
      </c>
      <c r="BL38" s="57">
        <v>400</v>
      </c>
      <c r="BM38" s="58">
        <v>14.57333</v>
      </c>
      <c r="BN38" s="58">
        <f>IFERROR(Table6[[#This Row],[Redbook WAC price per tablet/capsule (Jan 2021)]]/Table6[[#This Row],[Redbook package strength (mg) (Jan 2021)]], "")</f>
        <v>3.6433325000000003E-2</v>
      </c>
      <c r="BO38" s="57" t="s">
        <v>1741</v>
      </c>
      <c r="BP38" s="73" t="s">
        <v>1844</v>
      </c>
      <c r="BQ38" s="57" t="s">
        <v>1841</v>
      </c>
      <c r="BR38" s="57">
        <v>400</v>
      </c>
      <c r="BS38" s="58">
        <v>14.57333</v>
      </c>
      <c r="BT38" s="58">
        <f>IFERROR(Table6[[#This Row],[Redbook WAC price per tablet/capsule (Jul 2021)]]/Table6[[#This Row],[Redbook package strength (mg) (Jul 2021)]], "")</f>
        <v>3.6433325000000003E-2</v>
      </c>
      <c r="BU38" s="57" t="s">
        <v>1741</v>
      </c>
      <c r="BV38" s="186" t="s">
        <v>2144</v>
      </c>
      <c r="BW38" s="158" t="s">
        <v>1841</v>
      </c>
      <c r="BX38" s="57">
        <v>400</v>
      </c>
      <c r="BY38" s="58">
        <v>4.3333300000000001</v>
      </c>
      <c r="BZ38" s="58">
        <f>IFERROR(Table6[[#This Row],[Redbook WAC price per tablet/capsule (Jan 2022)]]/Table6[[#This Row],[Redbook package strength (mg) (Jan 2022)]], "")</f>
        <v>1.0833325E-2</v>
      </c>
      <c r="CA38" s="74" t="s">
        <v>1741</v>
      </c>
      <c r="CB38" s="57" t="s">
        <v>2144</v>
      </c>
      <c r="CC38" s="57" t="s">
        <v>1841</v>
      </c>
      <c r="CD38" s="57">
        <v>400</v>
      </c>
      <c r="CE38" s="58">
        <v>4.3333300000000001</v>
      </c>
      <c r="CF38" s="247">
        <f>IFERROR(Table6[[#This Row],[Redbook WAC price per tablet/capsule (Jul 2022)]]/Table6[[#This Row],[Redbook package strength (mg) (Jul 2022)]], "")</f>
        <v>1.0833325E-2</v>
      </c>
      <c r="CG38" s="74" t="s">
        <v>1741</v>
      </c>
      <c r="CI38" s="57"/>
      <c r="CJ38" s="57"/>
      <c r="CK38" s="58"/>
      <c r="CL38" s="58" t="str">
        <f>IFERROR(Table6[[#This Row],[Redbook WAC price per tablet/capsule (Jan 2023)]]/Table6[[#This Row],[Redbook package strength (mg) (Jan 2023)]], "")</f>
        <v/>
      </c>
      <c r="CM38" s="57"/>
      <c r="CN38" t="s">
        <v>2443</v>
      </c>
    </row>
    <row r="39" spans="1:92" x14ac:dyDescent="0.3">
      <c r="A39" s="83" t="s">
        <v>86</v>
      </c>
      <c r="B39" s="57"/>
      <c r="C39" s="57"/>
      <c r="D39" s="57"/>
      <c r="E39" s="57"/>
      <c r="F39" s="57" t="str">
        <f>IFERROR(Table6[[#This Row],[Redbook WAC price per tablet/capsule (Jan 2016)]]/Table6[[#This Row],[Redbook package strength (mg) (Jan 2016)]], "")</f>
        <v/>
      </c>
      <c r="G39" s="74"/>
      <c r="H39" s="57"/>
      <c r="I39" s="57"/>
      <c r="J39" s="57"/>
      <c r="K39" s="57"/>
      <c r="L39" s="57" t="str">
        <f>IFERROR(Table6[[#This Row],[Redbook WAC price per tablet/capsule (Jul 2016)]]/Table6[[#This Row],[Redbook package strength (mg) (Jul 2016)]], "")</f>
        <v/>
      </c>
      <c r="M39" s="74"/>
      <c r="N39" s="57"/>
      <c r="O39" s="57"/>
      <c r="P39" s="57"/>
      <c r="Q39" s="57"/>
      <c r="R39" s="57" t="str">
        <f>IFERROR(Table6[[#This Row],[Redbook WAC price per tablet/capsule (Jan 2017)]]/Table6[[#This Row],[Redbook package strength (mg) (Jan 2017)]], "")</f>
        <v/>
      </c>
      <c r="S39" s="74"/>
      <c r="T39" s="57"/>
      <c r="U39" s="57"/>
      <c r="V39" s="57"/>
      <c r="W39" s="284"/>
      <c r="X39" s="284" t="str">
        <f>IFERROR(Table6[[#This Row],[Redbook WAC price per tablet/capsule (Jul 2017)]]/Table6[[#This Row],[Redbook package strength (mg) (Jul 2017)]], "")</f>
        <v/>
      </c>
      <c r="Y39" s="57"/>
      <c r="Z39" s="388"/>
      <c r="AA39" s="389"/>
      <c r="AB39" s="158"/>
      <c r="AC39" s="390"/>
      <c r="AD39" s="390"/>
      <c r="AE39" s="391"/>
      <c r="AF39" s="388"/>
      <c r="AG39" s="389"/>
      <c r="AH39" s="397"/>
      <c r="AI39" s="399"/>
      <c r="AJ39" s="399"/>
      <c r="AK39" s="391"/>
      <c r="AL39" s="57"/>
      <c r="AM39" s="57"/>
      <c r="AN39" s="57"/>
      <c r="AO39" s="58"/>
      <c r="AP39" s="58" t="str">
        <f>IFERROR(Table6[[#This Row],[Redbook WAC price per tablet/capsule (Jan 2019)]]/Table6[[#This Row],[Redbook package strength (mg) (Jan 2019)]], "")</f>
        <v/>
      </c>
      <c r="AQ39" s="74"/>
      <c r="AR39" s="73" t="s">
        <v>1800</v>
      </c>
      <c r="AS39" s="57" t="s">
        <v>1499</v>
      </c>
      <c r="AT39" s="57">
        <v>5</v>
      </c>
      <c r="AU39" s="58">
        <v>450</v>
      </c>
      <c r="AV39" s="58">
        <f>IFERROR(Table6[[#This Row],[Redbook WAC price per tablet/capsule (Jul 2019)]]/Table6[[#This Row],[Redbook package strength (mg) (Jul 2019)]], "")</f>
        <v>90</v>
      </c>
      <c r="AW39" s="74" t="s">
        <v>1741</v>
      </c>
      <c r="AX39" s="73" t="s">
        <v>1800</v>
      </c>
      <c r="AY39" s="57" t="s">
        <v>1499</v>
      </c>
      <c r="AZ39" s="57">
        <v>5</v>
      </c>
      <c r="BA39" s="59">
        <v>450</v>
      </c>
      <c r="BB39" s="59">
        <f>IFERROR(Table6[[#This Row],[Redbook WAC price per tablet/capsule (Jan 2020)]]/Table6[[#This Row],[Redbook package strength (mg) (Jan 2020)]], "")</f>
        <v>90</v>
      </c>
      <c r="BC39" t="s">
        <v>1741</v>
      </c>
      <c r="BD39" s="73" t="s">
        <v>1800</v>
      </c>
      <c r="BE39" s="57" t="s">
        <v>1499</v>
      </c>
      <c r="BF39" s="57">
        <v>5</v>
      </c>
      <c r="BG39" s="58">
        <v>470.25</v>
      </c>
      <c r="BH39" s="58">
        <f>IFERROR(Table6[[#This Row],[Redbook WAC price per tablet/capsule (Jul 2020)]]/Table6[[#This Row],[Redbook package strength (mg) (Jul 2020)]], "")</f>
        <v>94.05</v>
      </c>
      <c r="BI39" s="74" t="s">
        <v>1741</v>
      </c>
      <c r="BJ39" s="57" t="s">
        <v>1800</v>
      </c>
      <c r="BK39" s="57" t="s">
        <v>1499</v>
      </c>
      <c r="BL39" s="57">
        <v>5</v>
      </c>
      <c r="BM39" s="58">
        <v>470.25</v>
      </c>
      <c r="BN39" s="58">
        <f>IFERROR(Table6[[#This Row],[Redbook WAC price per tablet/capsule (Jan 2021)]]/Table6[[#This Row],[Redbook package strength (mg) (Jan 2021)]], "")</f>
        <v>94.05</v>
      </c>
      <c r="BO39" s="57" t="s">
        <v>1741</v>
      </c>
      <c r="BP39" s="73" t="s">
        <v>1800</v>
      </c>
      <c r="BQ39" s="57" t="s">
        <v>1499</v>
      </c>
      <c r="BR39" s="57">
        <v>5</v>
      </c>
      <c r="BS39" s="58">
        <v>492.822025</v>
      </c>
      <c r="BT39" s="58">
        <f>IFERROR(Table6[[#This Row],[Redbook WAC price per tablet/capsule (Jul 2021)]]/Table6[[#This Row],[Redbook package strength (mg) (Jul 2021)]], "")</f>
        <v>98.564404999999994</v>
      </c>
      <c r="BU39" s="57" t="s">
        <v>1741</v>
      </c>
      <c r="BV39" s="186" t="s">
        <v>1800</v>
      </c>
      <c r="BW39" s="158" t="s">
        <v>1499</v>
      </c>
      <c r="BX39" s="57">
        <v>5</v>
      </c>
      <c r="BY39" s="58">
        <v>492.822025</v>
      </c>
      <c r="BZ39" s="58">
        <f>IFERROR(Table6[[#This Row],[Redbook WAC price per tablet/capsule (Jan 2022)]]/Table6[[#This Row],[Redbook package strength (mg) (Jan 2022)]], "")</f>
        <v>98.564404999999994</v>
      </c>
      <c r="CA39" s="74" t="s">
        <v>1741</v>
      </c>
      <c r="CB39" s="57" t="s">
        <v>1800</v>
      </c>
      <c r="CC39" s="158" t="s">
        <v>1499</v>
      </c>
      <c r="CD39" s="57">
        <v>5</v>
      </c>
      <c r="CE39" s="58">
        <v>519.43463999999994</v>
      </c>
      <c r="CF39" s="247">
        <f>IFERROR(Table6[[#This Row],[Redbook WAC price per tablet/capsule (Jul 2022)]]/Table6[[#This Row],[Redbook package strength (mg) (Jul 2022)]], "")</f>
        <v>103.88692799999998</v>
      </c>
      <c r="CG39" s="74" t="s">
        <v>1741</v>
      </c>
      <c r="CH39" s="57" t="s">
        <v>1800</v>
      </c>
      <c r="CI39" s="158" t="s">
        <v>1499</v>
      </c>
      <c r="CJ39" s="57">
        <v>5</v>
      </c>
      <c r="CK39" s="58">
        <v>560.73213999999996</v>
      </c>
      <c r="CL39" s="58">
        <f>IFERROR(Table6[[#This Row],[Redbook WAC price per tablet/capsule (Jan 2023)]]/Table6[[#This Row],[Redbook package strength (mg) (Jan 2023)]], "")</f>
        <v>112.14642799999999</v>
      </c>
      <c r="CM39" s="57" t="s">
        <v>1741</v>
      </c>
    </row>
    <row r="40" spans="1:92" x14ac:dyDescent="0.3">
      <c r="A40" s="91" t="s">
        <v>89</v>
      </c>
      <c r="B40" s="57" t="s">
        <v>1863</v>
      </c>
      <c r="C40" s="57" t="s">
        <v>1864</v>
      </c>
      <c r="D40" s="57">
        <v>25</v>
      </c>
      <c r="E40" s="57">
        <v>502.69091666700001</v>
      </c>
      <c r="F40" s="57">
        <f>IFERROR(Table6[[#This Row],[Redbook WAC price per tablet/capsule (Jan 2016)]]/Table6[[#This Row],[Redbook package strength (mg) (Jan 2016)]], "")</f>
        <v>20.107636666680001</v>
      </c>
      <c r="G40" s="74" t="s">
        <v>1741</v>
      </c>
      <c r="H40" s="57" t="s">
        <v>1863</v>
      </c>
      <c r="I40" s="57" t="s">
        <v>1864</v>
      </c>
      <c r="J40" s="57">
        <v>25</v>
      </c>
      <c r="K40" s="57">
        <v>536.873916667</v>
      </c>
      <c r="L40" s="57">
        <f>IFERROR(Table6[[#This Row],[Redbook WAC price per tablet/capsule (Jul 2016)]]/Table6[[#This Row],[Redbook package strength (mg) (Jul 2016)]], "")</f>
        <v>21.474956666680001</v>
      </c>
      <c r="M40" s="74" t="s">
        <v>1741</v>
      </c>
      <c r="N40" s="57" t="s">
        <v>1863</v>
      </c>
      <c r="O40" s="57" t="s">
        <v>1864</v>
      </c>
      <c r="P40" s="57">
        <v>25</v>
      </c>
      <c r="Q40" s="57">
        <v>552.98015833299996</v>
      </c>
      <c r="R40" s="57">
        <f>IFERROR(Table6[[#This Row],[Redbook WAC price per tablet/capsule (Jan 2017)]]/Table6[[#This Row],[Redbook package strength (mg) (Jan 2017)]], "")</f>
        <v>22.119206333319998</v>
      </c>
      <c r="S40" s="74" t="s">
        <v>1741</v>
      </c>
      <c r="T40" s="356" t="s">
        <v>1863</v>
      </c>
      <c r="U40" s="356" t="s">
        <v>1864</v>
      </c>
      <c r="V40" s="356">
        <v>25</v>
      </c>
      <c r="W40" s="358">
        <v>597.21849999999995</v>
      </c>
      <c r="X40" s="358">
        <f>IFERROR(Table6[[#This Row],[Redbook WAC price per tablet/capsule (Jul 2017)]]/Table6[[#This Row],[Redbook package strength (mg) (Jul 2017)]], "")</f>
        <v>23.888739999999999</v>
      </c>
      <c r="Y40" s="356" t="s">
        <v>1741</v>
      </c>
      <c r="Z40" s="388" t="s">
        <v>1863</v>
      </c>
      <c r="AA40" s="389" t="s">
        <v>1864</v>
      </c>
      <c r="AB40" s="158">
        <v>25</v>
      </c>
      <c r="AC40" s="390">
        <v>662.36008333333336</v>
      </c>
      <c r="AD40" s="390">
        <f>Table6[[#This Row],[Redbook WAC price per tablet/capsule (Jan 2018)]]/Table6[[#This Row],[Redbook package strength (mg) (Jan 2018)]]</f>
        <v>26.494403333333334</v>
      </c>
      <c r="AE40" s="391" t="s">
        <v>1741</v>
      </c>
      <c r="AF40" s="388" t="s">
        <v>1863</v>
      </c>
      <c r="AG40" s="389" t="s">
        <v>1864</v>
      </c>
      <c r="AH40" s="397">
        <v>25</v>
      </c>
      <c r="AI40" s="399">
        <v>662.36008333333336</v>
      </c>
      <c r="AJ40" s="399">
        <f>Table6[[#This Row],[Redbook WAC price per tablet/capsule (Jul 2018)]]/Table6[[#This Row],[Redbook package strength (mg) (Jul 2018)]]</f>
        <v>26.494403333333334</v>
      </c>
      <c r="AK40" s="391" t="s">
        <v>1741</v>
      </c>
      <c r="AL40" s="57" t="s">
        <v>1863</v>
      </c>
      <c r="AM40" s="57" t="s">
        <v>1864</v>
      </c>
      <c r="AN40" s="57">
        <v>25</v>
      </c>
      <c r="AO40" s="58">
        <v>695.47820000000002</v>
      </c>
      <c r="AP40" s="58">
        <f>IFERROR(Table6[[#This Row],[Redbook WAC price per tablet/capsule (Jan 2019)]]/Table6[[#This Row],[Redbook package strength (mg) (Jan 2019)]], "")</f>
        <v>27.819127999999999</v>
      </c>
      <c r="AQ40" s="74" t="s">
        <v>1741</v>
      </c>
      <c r="AR40" s="73" t="s">
        <v>1863</v>
      </c>
      <c r="AS40" s="57" t="s">
        <v>1864</v>
      </c>
      <c r="AT40" s="57">
        <v>25</v>
      </c>
      <c r="AU40" s="58">
        <v>719.81979999999999</v>
      </c>
      <c r="AV40" s="58">
        <f>IFERROR(Table6[[#This Row],[Redbook WAC price per tablet/capsule (Jul 2019)]]/Table6[[#This Row],[Redbook package strength (mg) (Jul 2019)]], "")</f>
        <v>28.792791999999999</v>
      </c>
      <c r="AW40" s="74" t="s">
        <v>1741</v>
      </c>
      <c r="AX40" s="73" t="s">
        <v>1863</v>
      </c>
      <c r="AY40" s="57" t="s">
        <v>1864</v>
      </c>
      <c r="AZ40" s="57">
        <v>25</v>
      </c>
      <c r="BA40" s="59">
        <v>763.00900000000001</v>
      </c>
      <c r="BB40" s="59">
        <f>IFERROR(Table6[[#This Row],[Redbook WAC price per tablet/capsule (Jan 2020)]]/Table6[[#This Row],[Redbook package strength (mg) (Jan 2020)]], "")</f>
        <v>30.52036</v>
      </c>
      <c r="BC40" t="s">
        <v>1741</v>
      </c>
      <c r="BD40" s="73" t="s">
        <v>1863</v>
      </c>
      <c r="BE40" s="57" t="s">
        <v>1864</v>
      </c>
      <c r="BF40" s="57">
        <v>25</v>
      </c>
      <c r="BG40" s="58">
        <v>763.00900000000001</v>
      </c>
      <c r="BH40" s="58">
        <f>IFERROR(Table6[[#This Row],[Redbook WAC price per tablet/capsule (Jul 2020)]]/Table6[[#This Row],[Redbook package strength (mg) (Jul 2020)]], "")</f>
        <v>30.52036</v>
      </c>
      <c r="BI40" s="74" t="s">
        <v>1741</v>
      </c>
      <c r="BJ40" s="57" t="s">
        <v>1863</v>
      </c>
      <c r="BK40" s="57" t="s">
        <v>1864</v>
      </c>
      <c r="BL40" s="57">
        <v>25</v>
      </c>
      <c r="BM40" s="58">
        <v>797.34442000000001</v>
      </c>
      <c r="BN40" s="58">
        <f>IFERROR(Table6[[#This Row],[Redbook WAC price per tablet/capsule (Jan 2021)]]/Table6[[#This Row],[Redbook package strength (mg) (Jan 2021)]], "")</f>
        <v>31.893776800000001</v>
      </c>
      <c r="BO40" s="57" t="s">
        <v>1741</v>
      </c>
      <c r="BP40" s="73" t="s">
        <v>1863</v>
      </c>
      <c r="BQ40" s="57" t="s">
        <v>1864</v>
      </c>
      <c r="BR40" s="57">
        <v>25</v>
      </c>
      <c r="BS40" s="58">
        <v>797.34442000000001</v>
      </c>
      <c r="BT40" s="58">
        <f>IFERROR(Table6[[#This Row],[Redbook WAC price per tablet/capsule (Jul 2021)]]/Table6[[#This Row],[Redbook package strength (mg) (Jul 2021)]], "")</f>
        <v>31.893776800000001</v>
      </c>
      <c r="BU40" s="57" t="s">
        <v>1741</v>
      </c>
      <c r="BV40" s="186" t="s">
        <v>2077</v>
      </c>
      <c r="BW40" s="158" t="s">
        <v>1864</v>
      </c>
      <c r="BX40" s="57">
        <v>10</v>
      </c>
      <c r="BY40" s="157">
        <v>833.22429</v>
      </c>
      <c r="BZ40" s="58">
        <f>IFERROR(Table6[[#This Row],[Redbook WAC price per tablet/capsule (Jan 2022)]]/Table6[[#This Row],[Redbook package strength (mg) (Jan 2022)]], "")</f>
        <v>83.322429</v>
      </c>
      <c r="CA40" s="74" t="s">
        <v>1741</v>
      </c>
      <c r="CB40" s="57" t="s">
        <v>2077</v>
      </c>
      <c r="CC40" s="57" t="s">
        <v>1864</v>
      </c>
      <c r="CD40" s="57">
        <v>10</v>
      </c>
      <c r="CE40" s="58">
        <v>833.22429</v>
      </c>
      <c r="CF40" s="58">
        <f>IFERROR(Table6[[#This Row],[Redbook WAC price per tablet/capsule (Jul 2022)]]/Table6[[#This Row],[Redbook package strength (mg) (Jul 2022)]], "")</f>
        <v>83.322429</v>
      </c>
      <c r="CG40" s="74" t="s">
        <v>1741</v>
      </c>
      <c r="CH40" s="57" t="s">
        <v>2077</v>
      </c>
      <c r="CI40" s="57" t="s">
        <v>1864</v>
      </c>
      <c r="CJ40" s="57">
        <v>10</v>
      </c>
      <c r="CK40" s="58">
        <v>833.22429</v>
      </c>
      <c r="CL40" s="58">
        <f>IFERROR(Table6[[#This Row],[Redbook WAC price per tablet/capsule (Jan 2023)]]/Table6[[#This Row],[Redbook package strength (mg) (Jan 2023)]], "")</f>
        <v>83.322429</v>
      </c>
      <c r="CM40" s="57" t="s">
        <v>1741</v>
      </c>
      <c r="CN40" t="s">
        <v>2076</v>
      </c>
    </row>
    <row r="41" spans="1:92" x14ac:dyDescent="0.3">
      <c r="A41" s="83" t="s">
        <v>91</v>
      </c>
      <c r="B41" s="283"/>
      <c r="C41" s="283"/>
      <c r="D41" s="283"/>
      <c r="E41" s="283"/>
      <c r="F41" s="283" t="str">
        <f>IFERROR(Table6[[#This Row],[Redbook WAC price per tablet/capsule (Jan 2016)]]/Table6[[#This Row],[Redbook package strength (mg) (Jan 2016)]], "")</f>
        <v/>
      </c>
      <c r="G41" s="350"/>
      <c r="H41" s="283" t="s">
        <v>2680</v>
      </c>
      <c r="I41" s="283" t="s">
        <v>1866</v>
      </c>
      <c r="J41" s="283">
        <v>2</v>
      </c>
      <c r="K41" s="283">
        <v>20.273</v>
      </c>
      <c r="L41" s="57">
        <f>IFERROR(Table6[[#This Row],[Redbook WAC price per tablet/capsule (Jul 2016)]]/Table6[[#This Row],[Redbook package strength (mg) (Jul 2016)]], "")</f>
        <v>10.1365</v>
      </c>
      <c r="M41" s="350" t="s">
        <v>1741</v>
      </c>
      <c r="N41" s="283" t="s">
        <v>1865</v>
      </c>
      <c r="O41" s="283" t="s">
        <v>1866</v>
      </c>
      <c r="P41" s="283">
        <v>2</v>
      </c>
      <c r="Q41" s="284">
        <v>24.327500000000001</v>
      </c>
      <c r="R41" s="57">
        <f>IFERROR(Table6[[#This Row],[Redbook WAC price per tablet/capsule (Jan 2017)]]/Table6[[#This Row],[Redbook package strength (mg) (Jan 2017)]], "")</f>
        <v>12.16375</v>
      </c>
      <c r="S41" s="350" t="s">
        <v>1741</v>
      </c>
      <c r="T41" s="283" t="s">
        <v>1865</v>
      </c>
      <c r="U41" s="57" t="s">
        <v>1866</v>
      </c>
      <c r="V41" s="57">
        <v>2</v>
      </c>
      <c r="W41" s="284">
        <v>24.327500000000001</v>
      </c>
      <c r="X41" s="284">
        <f>IFERROR(Table6[[#This Row],[Redbook WAC price per tablet/capsule (Jul 2017)]]/Table6[[#This Row],[Redbook package strength (mg) (Jul 2017)]], "")</f>
        <v>12.16375</v>
      </c>
      <c r="Y41" s="57" t="s">
        <v>1741</v>
      </c>
      <c r="Z41" s="388" t="s">
        <v>1865</v>
      </c>
      <c r="AA41" s="389" t="s">
        <v>1866</v>
      </c>
      <c r="AB41" s="158">
        <v>2</v>
      </c>
      <c r="AC41" s="390">
        <v>24.327666666666669</v>
      </c>
      <c r="AD41" s="390">
        <f>Table6[[#This Row],[Redbook WAC price per tablet/capsule (Jan 2018)]]/Table6[[#This Row],[Redbook package strength (mg) (Jan 2018)]]</f>
        <v>12.163833333333335</v>
      </c>
      <c r="AE41" s="391" t="s">
        <v>1741</v>
      </c>
      <c r="AF41" s="388" t="s">
        <v>1865</v>
      </c>
      <c r="AG41" s="389" t="s">
        <v>1866</v>
      </c>
      <c r="AH41" s="397">
        <v>2</v>
      </c>
      <c r="AI41" s="399">
        <v>24.327666666666669</v>
      </c>
      <c r="AJ41" s="399">
        <f>Table6[[#This Row],[Redbook WAC price per tablet/capsule (Jul 2018)]]/Table6[[#This Row],[Redbook package strength (mg) (Jul 2018)]]</f>
        <v>12.163833333333335</v>
      </c>
      <c r="AK41" s="391" t="s">
        <v>1741</v>
      </c>
      <c r="AL41" s="57" t="s">
        <v>1865</v>
      </c>
      <c r="AM41" s="57" t="s">
        <v>1866</v>
      </c>
      <c r="AN41" s="57">
        <v>2</v>
      </c>
      <c r="AO41" s="58">
        <v>24.327500000000001</v>
      </c>
      <c r="AP41" s="58">
        <f>IFERROR(Table6[[#This Row],[Redbook WAC price per tablet/capsule (Jan 2019)]]/Table6[[#This Row],[Redbook package strength (mg) (Jan 2019)]], "")</f>
        <v>12.16375</v>
      </c>
      <c r="AQ41" s="74" t="s">
        <v>1741</v>
      </c>
      <c r="AR41" s="73" t="s">
        <v>1865</v>
      </c>
      <c r="AS41" s="57" t="s">
        <v>1866</v>
      </c>
      <c r="AT41" s="57">
        <v>2</v>
      </c>
      <c r="AU41" s="58">
        <v>24.327500000000001</v>
      </c>
      <c r="AV41" s="58">
        <f>IFERROR(Table6[[#This Row],[Redbook WAC price per tablet/capsule (Jul 2019)]]/Table6[[#This Row],[Redbook package strength (mg) (Jul 2019)]], "")</f>
        <v>12.16375</v>
      </c>
      <c r="AW41" s="74" t="s">
        <v>1741</v>
      </c>
      <c r="AX41" s="73" t="s">
        <v>1865</v>
      </c>
      <c r="AY41" s="57" t="s">
        <v>1866</v>
      </c>
      <c r="AZ41" s="57">
        <v>2</v>
      </c>
      <c r="BA41" s="58">
        <v>24.327500000000001</v>
      </c>
      <c r="BB41" s="59">
        <f>IFERROR(Table6[[#This Row],[Redbook WAC price per tablet/capsule (Jan 2020)]]/Table6[[#This Row],[Redbook package strength (mg) (Jan 2020)]], "")</f>
        <v>12.16375</v>
      </c>
      <c r="BC41" s="74" t="s">
        <v>1741</v>
      </c>
      <c r="BD41" s="73" t="s">
        <v>1865</v>
      </c>
      <c r="BE41" s="57" t="s">
        <v>1866</v>
      </c>
      <c r="BF41" s="57">
        <v>2</v>
      </c>
      <c r="BG41" s="58">
        <v>24.327500000000001</v>
      </c>
      <c r="BH41" s="58">
        <f>IFERROR(Table6[[#This Row],[Redbook WAC price per tablet/capsule (Jul 2020)]]/Table6[[#This Row],[Redbook package strength (mg) (Jul 2020)]], "")</f>
        <v>12.16375</v>
      </c>
      <c r="BI41" s="74" t="s">
        <v>1741</v>
      </c>
      <c r="BJ41" s="57" t="s">
        <v>1865</v>
      </c>
      <c r="BK41" s="57" t="s">
        <v>1866</v>
      </c>
      <c r="BL41" s="57">
        <v>2</v>
      </c>
      <c r="BM41" s="58">
        <v>24.327500000000001</v>
      </c>
      <c r="BN41" s="58">
        <f>IFERROR(Table6[[#This Row],[Redbook WAC price per tablet/capsule (Jan 2021)]]/Table6[[#This Row],[Redbook package strength (mg) (Jan 2021)]], "")</f>
        <v>12.16375</v>
      </c>
      <c r="BO41" s="57" t="s">
        <v>1741</v>
      </c>
      <c r="BP41" s="73" t="s">
        <v>1865</v>
      </c>
      <c r="BQ41" s="57" t="s">
        <v>1866</v>
      </c>
      <c r="BR41" s="57">
        <v>2</v>
      </c>
      <c r="BS41" s="58">
        <v>26.517199999999999</v>
      </c>
      <c r="BT41" s="58">
        <f>IFERROR(Table6[[#This Row],[Redbook WAC price per tablet/capsule (Jul 2021)]]/Table6[[#This Row],[Redbook package strength (mg) (Jul 2021)]], "")</f>
        <v>13.258599999999999</v>
      </c>
      <c r="BU41" s="57" t="s">
        <v>1741</v>
      </c>
      <c r="BV41" s="186" t="s">
        <v>1865</v>
      </c>
      <c r="BW41" s="158" t="s">
        <v>1866</v>
      </c>
      <c r="BX41" s="57">
        <v>2</v>
      </c>
      <c r="BY41" s="58">
        <v>26.52</v>
      </c>
      <c r="BZ41" s="58">
        <f>IFERROR(Table6[[#This Row],[Redbook WAC price per tablet/capsule (Jan 2022)]]/Table6[[#This Row],[Redbook package strength (mg) (Jan 2022)]], "")</f>
        <v>13.26</v>
      </c>
      <c r="CA41" s="74" t="s">
        <v>1741</v>
      </c>
      <c r="CB41" t="s">
        <v>2149</v>
      </c>
      <c r="CC41" s="158" t="s">
        <v>1866</v>
      </c>
      <c r="CD41" s="57">
        <v>2</v>
      </c>
      <c r="CE41" s="58">
        <v>240.36600000000001</v>
      </c>
      <c r="CF41" s="58">
        <f>IFERROR(Table6[[#This Row],[Redbook WAC price per tablet/capsule (Jul 2022)]]/Table6[[#This Row],[Redbook package strength (mg) (Jul 2022)]], "")</f>
        <v>120.18300000000001</v>
      </c>
      <c r="CG41" s="74" t="s">
        <v>1741</v>
      </c>
      <c r="CH41" s="57" t="s">
        <v>2149</v>
      </c>
      <c r="CI41" s="57" t="s">
        <v>1866</v>
      </c>
      <c r="CJ41" s="57">
        <v>2</v>
      </c>
      <c r="CK41" s="58">
        <v>264.14999999999998</v>
      </c>
      <c r="CL41" s="58">
        <f>IFERROR(Table6[[#This Row],[Redbook WAC price per tablet/capsule (Jan 2023)]]/Table6[[#This Row],[Redbook package strength (mg) (Jan 2023)]], "")</f>
        <v>132.07499999999999</v>
      </c>
      <c r="CM41" s="57" t="s">
        <v>1741</v>
      </c>
      <c r="CN41" t="s">
        <v>2150</v>
      </c>
    </row>
    <row r="42" spans="1:92" x14ac:dyDescent="0.3">
      <c r="A42" s="85" t="s">
        <v>94</v>
      </c>
      <c r="B42" s="57" t="s">
        <v>1779</v>
      </c>
      <c r="C42" s="57" t="s">
        <v>1500</v>
      </c>
      <c r="D42" s="57">
        <v>150</v>
      </c>
      <c r="E42" s="57">
        <v>144.93610833299999</v>
      </c>
      <c r="F42" s="57">
        <f>IFERROR(Table6[[#This Row],[Redbook WAC price per tablet/capsule (Jan 2016)]]/Table6[[#This Row],[Redbook package strength (mg) (Jan 2016)]], "")</f>
        <v>0.9662407222199999</v>
      </c>
      <c r="G42" s="74" t="s">
        <v>1741</v>
      </c>
      <c r="H42" s="57" t="s">
        <v>1779</v>
      </c>
      <c r="I42" s="57" t="s">
        <v>1500</v>
      </c>
      <c r="J42" s="57">
        <v>150</v>
      </c>
      <c r="K42" s="57">
        <v>159.28485833299999</v>
      </c>
      <c r="L42" s="57">
        <f>IFERROR(Table6[[#This Row],[Redbook WAC price per tablet/capsule (Jul 2016)]]/Table6[[#This Row],[Redbook package strength (mg) (Jul 2016)]], "")</f>
        <v>1.0618990555533332</v>
      </c>
      <c r="M42" s="74" t="s">
        <v>1741</v>
      </c>
      <c r="N42" s="57" t="s">
        <v>1779</v>
      </c>
      <c r="O42" s="57" t="s">
        <v>1500</v>
      </c>
      <c r="P42" s="57">
        <v>150</v>
      </c>
      <c r="Q42" s="57">
        <v>170.27555833299999</v>
      </c>
      <c r="R42" s="57">
        <f>IFERROR(Table6[[#This Row],[Redbook WAC price per tablet/capsule (Jan 2017)]]/Table6[[#This Row],[Redbook package strength (mg) (Jan 2017)]], "")</f>
        <v>1.1351703888866667</v>
      </c>
      <c r="S42" s="74" t="s">
        <v>1741</v>
      </c>
      <c r="T42" s="57" t="s">
        <v>1779</v>
      </c>
      <c r="U42" s="57" t="s">
        <v>1500</v>
      </c>
      <c r="V42" s="57">
        <v>150</v>
      </c>
      <c r="W42" s="284">
        <f>(204.33067/1.2)</f>
        <v>170.27555833333335</v>
      </c>
      <c r="X42" s="284">
        <f>IFERROR(Table6[[#This Row],[Redbook WAC price per tablet/capsule (Jul 2017)]]/Table6[[#This Row],[Redbook package strength (mg) (Jul 2017)]], "")</f>
        <v>1.1351703888888891</v>
      </c>
      <c r="Y42" s="57" t="s">
        <v>1741</v>
      </c>
      <c r="Z42" s="388" t="s">
        <v>1779</v>
      </c>
      <c r="AA42" s="389" t="s">
        <v>1500</v>
      </c>
      <c r="AB42" s="158">
        <v>150</v>
      </c>
      <c r="AC42" s="390">
        <v>170.27555833333335</v>
      </c>
      <c r="AD42" s="390">
        <f>Table6[[#This Row],[Redbook WAC price per tablet/capsule (Jan 2018)]]/Table6[[#This Row],[Redbook package strength (mg) (Jan 2018)]]</f>
        <v>1.1351703888888891</v>
      </c>
      <c r="AE42" s="391" t="s">
        <v>1741</v>
      </c>
      <c r="AF42" s="388" t="s">
        <v>1779</v>
      </c>
      <c r="AG42" s="389" t="s">
        <v>1500</v>
      </c>
      <c r="AH42" s="397">
        <v>150</v>
      </c>
      <c r="AI42" s="399">
        <v>170.27555833333335</v>
      </c>
      <c r="AJ42" s="399">
        <f>Table6[[#This Row],[Redbook WAC price per tablet/capsule (Jul 2018)]]/Table6[[#This Row],[Redbook package strength (mg) (Jul 2018)]]</f>
        <v>1.1351703888888891</v>
      </c>
      <c r="AK42" s="391" t="s">
        <v>1741</v>
      </c>
      <c r="AL42" s="57" t="s">
        <v>1779</v>
      </c>
      <c r="AM42" s="57" t="s">
        <v>1500</v>
      </c>
      <c r="AN42" s="57">
        <v>150</v>
      </c>
      <c r="AO42" s="58">
        <v>170.27549999999999</v>
      </c>
      <c r="AP42" s="58">
        <f>IFERROR(Table6[[#This Row],[Redbook WAC price per tablet/capsule (Jan 2019)]]/Table6[[#This Row],[Redbook package strength (mg) (Jan 2019)]], "")</f>
        <v>1.13517</v>
      </c>
      <c r="AQ42" s="74" t="s">
        <v>1741</v>
      </c>
      <c r="AR42" s="73" t="s">
        <v>1779</v>
      </c>
      <c r="AS42" s="57" t="s">
        <v>1500</v>
      </c>
      <c r="AT42" s="57">
        <v>150</v>
      </c>
      <c r="AU42" s="58">
        <v>178.619</v>
      </c>
      <c r="AV42" s="58">
        <f>IFERROR(Table6[[#This Row],[Redbook WAC price per tablet/capsule (Jul 2019)]]/Table6[[#This Row],[Redbook package strength (mg) (Jul 2019)]], "")</f>
        <v>1.1907933333333334</v>
      </c>
      <c r="AW42" s="74" t="s">
        <v>1741</v>
      </c>
      <c r="AX42" s="73" t="s">
        <v>1779</v>
      </c>
      <c r="AY42" s="57" t="s">
        <v>1500</v>
      </c>
      <c r="AZ42" s="57">
        <v>150</v>
      </c>
      <c r="BA42" s="59">
        <v>187.1927</v>
      </c>
      <c r="BB42" s="59">
        <f>IFERROR(Table6[[#This Row],[Redbook WAC price per tablet/capsule (Jan 2020)]]/Table6[[#This Row],[Redbook package strength (mg) (Jan 2020)]], "")</f>
        <v>1.2479513333333334</v>
      </c>
      <c r="BC42" t="s">
        <v>1741</v>
      </c>
      <c r="BD42" s="73" t="s">
        <v>1779</v>
      </c>
      <c r="BE42" s="57" t="s">
        <v>1500</v>
      </c>
      <c r="BF42" s="57">
        <v>150</v>
      </c>
      <c r="BG42" s="58">
        <v>187.1927</v>
      </c>
      <c r="BH42" s="58">
        <f>IFERROR(Table6[[#This Row],[Redbook WAC price per tablet/capsule (Jul 2020)]]/Table6[[#This Row],[Redbook package strength (mg) (Jul 2020)]], "")</f>
        <v>1.2479513333333334</v>
      </c>
      <c r="BI42" s="74" t="s">
        <v>1741</v>
      </c>
      <c r="BJ42" s="57" t="s">
        <v>1779</v>
      </c>
      <c r="BK42" s="57" t="s">
        <v>1500</v>
      </c>
      <c r="BL42" s="57">
        <v>150</v>
      </c>
      <c r="BM42" s="58">
        <v>196.177775</v>
      </c>
      <c r="BN42" s="58">
        <f>IFERROR(Table6[[#This Row],[Redbook WAC price per tablet/capsule (Jan 2021)]]/Table6[[#This Row],[Redbook package strength (mg) (Jan 2021)]], "")</f>
        <v>1.3078518333333333</v>
      </c>
      <c r="BO42" s="57" t="s">
        <v>1741</v>
      </c>
      <c r="BP42" s="73" t="s">
        <v>1779</v>
      </c>
      <c r="BQ42" s="57" t="s">
        <v>1500</v>
      </c>
      <c r="BR42" s="57">
        <v>150</v>
      </c>
      <c r="BS42" s="58">
        <v>196.177775</v>
      </c>
      <c r="BT42" s="58">
        <f>IFERROR(Table6[[#This Row],[Redbook WAC price per tablet/capsule (Jul 2021)]]/Table6[[#This Row],[Redbook package strength (mg) (Jul 2021)]], "")</f>
        <v>1.3078518333333333</v>
      </c>
      <c r="BU42" s="57" t="s">
        <v>1741</v>
      </c>
      <c r="BV42" s="186" t="s">
        <v>1779</v>
      </c>
      <c r="BW42" s="158" t="s">
        <v>1500</v>
      </c>
      <c r="BX42" s="57">
        <v>150</v>
      </c>
      <c r="BY42" s="58">
        <v>207.16</v>
      </c>
      <c r="BZ42" s="58">
        <f>IFERROR(Table6[[#This Row],[Redbook WAC price per tablet/capsule (Jan 2022)]]/Table6[[#This Row],[Redbook package strength (mg) (Jan 2022)]], "")</f>
        <v>1.3810666666666667</v>
      </c>
      <c r="CA42" s="74" t="s">
        <v>1741</v>
      </c>
      <c r="CB42" s="57" t="s">
        <v>1779</v>
      </c>
      <c r="CC42" s="57" t="s">
        <v>1500</v>
      </c>
      <c r="CD42" s="57">
        <v>150</v>
      </c>
      <c r="CE42" s="58">
        <v>207.16382999999999</v>
      </c>
      <c r="CF42" s="58">
        <f>IFERROR(Table6[[#This Row],[Redbook WAC price per tablet/capsule (Jul 2022)]]/Table6[[#This Row],[Redbook package strength (mg) (Jul 2022)]], "")</f>
        <v>1.3810921999999999</v>
      </c>
      <c r="CG42" s="74" t="s">
        <v>1741</v>
      </c>
      <c r="CH42" s="57" t="s">
        <v>1779</v>
      </c>
      <c r="CI42" s="57" t="s">
        <v>1500</v>
      </c>
      <c r="CJ42" s="57">
        <v>150</v>
      </c>
      <c r="CK42" s="58">
        <v>219.38650000000001</v>
      </c>
      <c r="CL42" s="58">
        <f>IFERROR(Table6[[#This Row],[Redbook WAC price per tablet/capsule (Jan 2023)]]/Table6[[#This Row],[Redbook package strength (mg) (Jan 2023)]], "")</f>
        <v>1.4625766666666669</v>
      </c>
      <c r="CM42" s="57" t="s">
        <v>1741</v>
      </c>
    </row>
    <row r="43" spans="1:92" x14ac:dyDescent="0.3">
      <c r="A43" s="83" t="s">
        <v>96</v>
      </c>
      <c r="B43" s="57"/>
      <c r="C43" s="57"/>
      <c r="D43" s="57"/>
      <c r="E43" s="57"/>
      <c r="F43" s="57" t="str">
        <f>IFERROR(Table6[[#This Row],[Redbook WAC price per tablet/capsule (Jan 2016)]]/Table6[[#This Row],[Redbook package strength (mg) (Jan 2016)]], "")</f>
        <v/>
      </c>
      <c r="G43" s="74"/>
      <c r="H43" s="57"/>
      <c r="I43" s="57"/>
      <c r="J43" s="57"/>
      <c r="K43" s="57"/>
      <c r="L43" s="57" t="str">
        <f>IFERROR(Table6[[#This Row],[Redbook WAC price per tablet/capsule (Jul 2016)]]/Table6[[#This Row],[Redbook package strength (mg) (Jul 2016)]], "")</f>
        <v/>
      </c>
      <c r="M43" s="74"/>
      <c r="N43" s="57"/>
      <c r="O43" s="57"/>
      <c r="P43" s="57"/>
      <c r="Q43" s="57"/>
      <c r="R43" s="57" t="str">
        <f>IFERROR(Table6[[#This Row],[Redbook WAC price per tablet/capsule (Jan 2017)]]/Table6[[#This Row],[Redbook package strength (mg) (Jan 2017)]], "")</f>
        <v/>
      </c>
      <c r="S43" s="74"/>
      <c r="T43" s="57"/>
      <c r="U43" s="57"/>
      <c r="V43" s="57"/>
      <c r="W43" s="284"/>
      <c r="X43" s="284" t="str">
        <f>IFERROR(Table6[[#This Row],[Redbook WAC price per tablet/capsule (Jul 2017)]]/Table6[[#This Row],[Redbook package strength (mg) (Jul 2017)]], "")</f>
        <v/>
      </c>
      <c r="Y43" s="57"/>
      <c r="Z43" s="388"/>
      <c r="AA43" s="389"/>
      <c r="AB43" s="158"/>
      <c r="AC43" s="390"/>
      <c r="AD43" s="390" t="e">
        <f>Table6[[#This Row],[Redbook WAC price per tablet/capsule (Jan 2018)]]/Table6[[#This Row],[Redbook package strength (mg) (Jan 2018)]]</f>
        <v>#DIV/0!</v>
      </c>
      <c r="AE43" s="391"/>
      <c r="AF43" s="388"/>
      <c r="AG43" s="389"/>
      <c r="AH43" s="397"/>
      <c r="AI43" s="399"/>
      <c r="AJ43" s="399"/>
      <c r="AK43" s="391"/>
      <c r="AL43" s="57" t="s">
        <v>1780</v>
      </c>
      <c r="AM43" s="57" t="s">
        <v>1501</v>
      </c>
      <c r="AN43" s="57">
        <v>25</v>
      </c>
      <c r="AO43" s="58">
        <v>210.71430000000001</v>
      </c>
      <c r="AP43" s="58">
        <f>IFERROR(Table6[[#This Row],[Redbook WAC price per tablet/capsule (Jan 2019)]]/Table6[[#This Row],[Redbook package strength (mg) (Jan 2019)]], "")</f>
        <v>8.4285720000000008</v>
      </c>
      <c r="AQ43" s="74" t="s">
        <v>1741</v>
      </c>
      <c r="AR43" s="73" t="s">
        <v>1780</v>
      </c>
      <c r="AS43" s="57" t="s">
        <v>1501</v>
      </c>
      <c r="AT43" s="57">
        <v>25</v>
      </c>
      <c r="AU43" s="58">
        <v>210.71430000000001</v>
      </c>
      <c r="AV43" s="58">
        <f>IFERROR(Table6[[#This Row],[Redbook WAC price per tablet/capsule (Jul 2019)]]/Table6[[#This Row],[Redbook package strength (mg) (Jul 2019)]], "")</f>
        <v>8.4285720000000008</v>
      </c>
      <c r="AW43" s="74" t="s">
        <v>1741</v>
      </c>
      <c r="AX43" s="73" t="s">
        <v>1780</v>
      </c>
      <c r="AY43" s="57" t="s">
        <v>1501</v>
      </c>
      <c r="AZ43" s="57">
        <v>25</v>
      </c>
      <c r="BA43" s="59">
        <v>221.25</v>
      </c>
      <c r="BB43" s="59">
        <f>IFERROR(Table6[[#This Row],[Redbook WAC price per tablet/capsule (Jan 2020)]]/Table6[[#This Row],[Redbook package strength (mg) (Jan 2020)]], "")</f>
        <v>8.85</v>
      </c>
      <c r="BC43" t="s">
        <v>1741</v>
      </c>
      <c r="BD43" s="73" t="s">
        <v>1780</v>
      </c>
      <c r="BE43" s="57" t="s">
        <v>1501</v>
      </c>
      <c r="BF43" s="57">
        <v>25</v>
      </c>
      <c r="BG43" s="58">
        <v>221.25</v>
      </c>
      <c r="BH43" s="58">
        <f>IFERROR(Table6[[#This Row],[Redbook WAC price per tablet/capsule (Jul 2020)]]/Table6[[#This Row],[Redbook package strength (mg) (Jul 2020)]], "")</f>
        <v>8.85</v>
      </c>
      <c r="BI43" s="74" t="s">
        <v>1741</v>
      </c>
      <c r="BJ43" s="57" t="s">
        <v>1780</v>
      </c>
      <c r="BK43" s="57" t="s">
        <v>1501</v>
      </c>
      <c r="BL43" s="57">
        <v>25</v>
      </c>
      <c r="BM43" s="58">
        <v>243.15371999999999</v>
      </c>
      <c r="BN43" s="58">
        <f>IFERROR(Table6[[#This Row],[Redbook WAC price per tablet/capsule (Jan 2021)]]/Table6[[#This Row],[Redbook package strength (mg) (Jan 2021)]], "")</f>
        <v>9.7261487999999989</v>
      </c>
      <c r="BO43" s="57" t="s">
        <v>1741</v>
      </c>
      <c r="BP43" s="73" t="s">
        <v>1780</v>
      </c>
      <c r="BQ43" s="57" t="s">
        <v>1501</v>
      </c>
      <c r="BR43" s="57">
        <v>25</v>
      </c>
      <c r="BS43" s="58">
        <v>267.22588999999999</v>
      </c>
      <c r="BT43" s="58">
        <f>IFERROR(Table6[[#This Row],[Redbook WAC price per tablet/capsule (Jul 2021)]]/Table6[[#This Row],[Redbook package strength (mg) (Jul 2021)]], "")</f>
        <v>10.6890356</v>
      </c>
      <c r="BU43" s="57" t="s">
        <v>1741</v>
      </c>
      <c r="BV43" s="186" t="s">
        <v>1780</v>
      </c>
      <c r="BW43" s="158" t="s">
        <v>1501</v>
      </c>
      <c r="BX43" s="57">
        <v>25</v>
      </c>
      <c r="BY43" s="58">
        <v>293.68</v>
      </c>
      <c r="BZ43" s="58">
        <f>IFERROR(Table6[[#This Row],[Redbook WAC price per tablet/capsule (Jan 2022)]]/Table6[[#This Row],[Redbook package strength (mg) (Jan 2022)]], "")</f>
        <v>11.747199999999999</v>
      </c>
      <c r="CA43" s="74" t="s">
        <v>1741</v>
      </c>
      <c r="CB43" s="57" t="s">
        <v>1780</v>
      </c>
      <c r="CC43" s="158" t="s">
        <v>1501</v>
      </c>
      <c r="CD43" s="57">
        <v>25</v>
      </c>
      <c r="CE43" s="58">
        <v>322.75554</v>
      </c>
      <c r="CF43" s="247">
        <f>IFERROR(Table6[[#This Row],[Redbook WAC price per tablet/capsule (Jul 2022)]]/Table6[[#This Row],[Redbook package strength (mg) (Jul 2022)]], "")</f>
        <v>12.9102216</v>
      </c>
      <c r="CG43" s="74" t="s">
        <v>1741</v>
      </c>
      <c r="CH43" s="57" t="s">
        <v>1780</v>
      </c>
      <c r="CI43" s="158" t="s">
        <v>1501</v>
      </c>
      <c r="CJ43" s="57">
        <v>25</v>
      </c>
      <c r="CK43" s="58">
        <v>322.75554</v>
      </c>
      <c r="CL43" s="58">
        <f>IFERROR(Table6[[#This Row],[Redbook WAC price per tablet/capsule (Jan 2023)]]/Table6[[#This Row],[Redbook package strength (mg) (Jan 2023)]], "")</f>
        <v>12.9102216</v>
      </c>
      <c r="CM43" s="57" t="s">
        <v>1741</v>
      </c>
    </row>
    <row r="44" spans="1:92" x14ac:dyDescent="0.3">
      <c r="A44" s="85" t="s">
        <v>97</v>
      </c>
      <c r="B44" s="283"/>
      <c r="C44" s="283"/>
      <c r="D44" s="283"/>
      <c r="E44" s="283"/>
      <c r="F44" s="283" t="str">
        <f>IFERROR(Table6[[#This Row],[Redbook WAC price per tablet/capsule (Jan 2016)]]/Table6[[#This Row],[Redbook package strength (mg) (Jan 2016)]], "")</f>
        <v/>
      </c>
      <c r="G44" s="350"/>
      <c r="H44" s="283"/>
      <c r="I44" s="283"/>
      <c r="J44" s="283"/>
      <c r="K44" s="283"/>
      <c r="L44" s="57" t="str">
        <f>IFERROR(Table6[[#This Row],[Redbook WAC price per tablet/capsule (Jul 2016)]]/Table6[[#This Row],[Redbook package strength (mg) (Jul 2016)]], "")</f>
        <v/>
      </c>
      <c r="M44" s="350"/>
      <c r="N44" s="283" t="s">
        <v>1781</v>
      </c>
      <c r="O44" s="283" t="s">
        <v>1502</v>
      </c>
      <c r="P44" s="283">
        <v>100</v>
      </c>
      <c r="Q44" s="283">
        <v>234.4</v>
      </c>
      <c r="R44" s="57">
        <f>IFERROR(Table6[[#This Row],[Redbook WAC price per tablet/capsule (Jan 2017)]]/Table6[[#This Row],[Redbook package strength (mg) (Jan 2017)]], "")</f>
        <v>2.3439999999999999</v>
      </c>
      <c r="S44" s="350" t="s">
        <v>1741</v>
      </c>
      <c r="T44" s="283" t="s">
        <v>1781</v>
      </c>
      <c r="U44" s="57" t="s">
        <v>1502</v>
      </c>
      <c r="V44" s="57">
        <v>100</v>
      </c>
      <c r="W44" s="92">
        <f>(281.28/1.2)</f>
        <v>234.39999999999998</v>
      </c>
      <c r="X44" s="284">
        <f>IFERROR(Table6[[#This Row],[Redbook WAC price per tablet/capsule (Jul 2017)]]/Table6[[#This Row],[Redbook package strength (mg) (Jul 2017)]], "")</f>
        <v>2.3439999999999999</v>
      </c>
      <c r="Y44" s="57" t="s">
        <v>1741</v>
      </c>
      <c r="Z44" s="388"/>
      <c r="AA44" s="389"/>
      <c r="AB44" s="158"/>
      <c r="AC44" s="390"/>
      <c r="AD44" s="390" t="e">
        <f>Table6[[#This Row],[Redbook WAC price per tablet/capsule (Jan 2018)]]/Table6[[#This Row],[Redbook package strength (mg) (Jan 2018)]]</f>
        <v>#DIV/0!</v>
      </c>
      <c r="AE44" s="391"/>
      <c r="AF44" s="388" t="s">
        <v>1781</v>
      </c>
      <c r="AG44" s="389" t="s">
        <v>1502</v>
      </c>
      <c r="AH44" s="397">
        <v>100</v>
      </c>
      <c r="AI44" s="399">
        <v>234.39999999999998</v>
      </c>
      <c r="AJ44" s="399">
        <f>Table6[[#This Row],[Redbook WAC price per tablet/capsule (Jul 2018)]]/Table6[[#This Row],[Redbook package strength (mg) (Jul 2018)]]</f>
        <v>2.3439999999999999</v>
      </c>
      <c r="AK44" s="391" t="s">
        <v>1741</v>
      </c>
      <c r="AL44" s="57" t="s">
        <v>1781</v>
      </c>
      <c r="AM44" s="57" t="s">
        <v>1502</v>
      </c>
      <c r="AN44" s="57">
        <v>100</v>
      </c>
      <c r="AO44" s="58">
        <v>234.4</v>
      </c>
      <c r="AP44" s="58">
        <f>IFERROR(Table6[[#This Row],[Redbook WAC price per tablet/capsule (Jan 2019)]]/Table6[[#This Row],[Redbook package strength (mg) (Jan 2019)]], "")</f>
        <v>2.3439999999999999</v>
      </c>
      <c r="AQ44" s="74" t="s">
        <v>1741</v>
      </c>
      <c r="AR44" s="73" t="s">
        <v>1781</v>
      </c>
      <c r="AS44" s="57" t="s">
        <v>1502</v>
      </c>
      <c r="AT44" s="57">
        <v>100</v>
      </c>
      <c r="AU44" s="58">
        <v>234.4</v>
      </c>
      <c r="AV44" s="58">
        <f>IFERROR(Table6[[#This Row],[Redbook WAC price per tablet/capsule (Jul 2019)]]/Table6[[#This Row],[Redbook package strength (mg) (Jul 2019)]], "")</f>
        <v>2.3439999999999999</v>
      </c>
      <c r="AW44" s="74" t="s">
        <v>1741</v>
      </c>
      <c r="AX44" s="73" t="s">
        <v>1781</v>
      </c>
      <c r="AY44" s="57" t="s">
        <v>1502</v>
      </c>
      <c r="AZ44" s="57">
        <v>100</v>
      </c>
      <c r="BA44" s="59">
        <v>234.4</v>
      </c>
      <c r="BB44" s="59">
        <f>IFERROR(Table6[[#This Row],[Redbook WAC price per tablet/capsule (Jan 2020)]]/Table6[[#This Row],[Redbook package strength (mg) (Jan 2020)]], "")</f>
        <v>2.3439999999999999</v>
      </c>
      <c r="BC44" t="s">
        <v>1741</v>
      </c>
      <c r="BD44" s="73" t="s">
        <v>1781</v>
      </c>
      <c r="BE44" s="57" t="s">
        <v>1502</v>
      </c>
      <c r="BF44" s="57">
        <v>100</v>
      </c>
      <c r="BG44" s="58">
        <v>234.4</v>
      </c>
      <c r="BH44" s="58">
        <f>IFERROR(Table6[[#This Row],[Redbook WAC price per tablet/capsule (Jul 2020)]]/Table6[[#This Row],[Redbook package strength (mg) (Jul 2020)]], "")</f>
        <v>2.3439999999999999</v>
      </c>
      <c r="BI44" s="74" t="s">
        <v>1741</v>
      </c>
      <c r="BJ44" s="57" t="s">
        <v>1781</v>
      </c>
      <c r="BK44" s="57" t="s">
        <v>1502</v>
      </c>
      <c r="BL44" s="57">
        <v>100</v>
      </c>
      <c r="BM44" s="58">
        <v>234.4</v>
      </c>
      <c r="BN44" s="58">
        <f>IFERROR(Table6[[#This Row],[Redbook WAC price per tablet/capsule (Jan 2021)]]/Table6[[#This Row],[Redbook package strength (mg) (Jan 2021)]], "")</f>
        <v>2.3439999999999999</v>
      </c>
      <c r="BO44" s="57" t="s">
        <v>1741</v>
      </c>
      <c r="BP44" s="73" t="s">
        <v>1781</v>
      </c>
      <c r="BQ44" s="57" t="s">
        <v>1502</v>
      </c>
      <c r="BR44" s="57">
        <v>100</v>
      </c>
      <c r="BS44" s="58">
        <v>234.4</v>
      </c>
      <c r="BT44" s="58">
        <f>IFERROR(Table6[[#This Row],[Redbook WAC price per tablet/capsule (Jul 2021)]]/Table6[[#This Row],[Redbook package strength (mg) (Jul 2021)]], "")</f>
        <v>2.3439999999999999</v>
      </c>
      <c r="BU44" s="57" t="s">
        <v>1741</v>
      </c>
      <c r="BV44" s="186" t="s">
        <v>1781</v>
      </c>
      <c r="BW44" s="158" t="s">
        <v>1502</v>
      </c>
      <c r="BX44" s="57">
        <v>100</v>
      </c>
      <c r="BY44" s="58">
        <v>237.915975</v>
      </c>
      <c r="BZ44" s="58">
        <f>IFERROR(Table6[[#This Row],[Redbook WAC price per tablet/capsule (Jan 2022)]]/Table6[[#This Row],[Redbook package strength (mg) (Jan 2022)]], "")</f>
        <v>2.3791597499999999</v>
      </c>
      <c r="CA44" s="74" t="s">
        <v>1741</v>
      </c>
      <c r="CB44" s="57" t="s">
        <v>1781</v>
      </c>
      <c r="CC44" s="158" t="s">
        <v>1502</v>
      </c>
      <c r="CD44" s="57">
        <v>100</v>
      </c>
      <c r="CE44" s="58">
        <v>241.43199999999999</v>
      </c>
      <c r="CF44" s="247">
        <f>IFERROR(Table6[[#This Row],[Redbook WAC price per tablet/capsule (Jul 2022)]]/Table6[[#This Row],[Redbook package strength (mg) (Jul 2022)]], "")</f>
        <v>2.41432</v>
      </c>
      <c r="CG44" s="74" t="s">
        <v>1741</v>
      </c>
      <c r="CH44" s="57" t="s">
        <v>2394</v>
      </c>
      <c r="CI44" s="57" t="s">
        <v>1502</v>
      </c>
      <c r="CJ44" s="57">
        <v>100</v>
      </c>
      <c r="CK44" s="58">
        <v>248.67482999999999</v>
      </c>
      <c r="CL44" s="58">
        <f>IFERROR(Table6[[#This Row],[Redbook WAC price per tablet/capsule (Jan 2023)]]/Table6[[#This Row],[Redbook package strength (mg) (Jan 2023)]], "")</f>
        <v>2.4867482999999999</v>
      </c>
      <c r="CM44" s="57" t="s">
        <v>1741</v>
      </c>
    </row>
    <row r="45" spans="1:92" x14ac:dyDescent="0.3">
      <c r="A45" s="91" t="s">
        <v>2718</v>
      </c>
      <c r="B45" s="354" t="s">
        <v>2722</v>
      </c>
      <c r="C45" s="354" t="s">
        <v>1867</v>
      </c>
      <c r="D45" s="354">
        <f>3*140</f>
        <v>420</v>
      </c>
      <c r="E45" s="354">
        <f>3*(106.460275)</f>
        <v>319.38082499999996</v>
      </c>
      <c r="F45" s="410">
        <f>IFERROR(Table6[[#This Row],[Redbook WAC price per tablet/capsule (Jan 2016)]]/Table6[[#This Row],[Redbook package strength (mg) (Jan 2016)]], "")</f>
        <v>0.76043053571428565</v>
      </c>
      <c r="G45" s="355" t="s">
        <v>1741</v>
      </c>
      <c r="H45" s="283" t="s">
        <v>2722</v>
      </c>
      <c r="I45" s="283" t="s">
        <v>1867</v>
      </c>
      <c r="J45" s="283">
        <f>3*140</f>
        <v>420</v>
      </c>
      <c r="K45" s="283">
        <f>3*(113.805975)</f>
        <v>341.41792500000003</v>
      </c>
      <c r="L45" s="57">
        <f>IFERROR(Table6[[#This Row],[Redbook WAC price per tablet/capsule (Jul 2016)]]/Table6[[#This Row],[Redbook package strength (mg) (Jul 2016)]], "")</f>
        <v>0.81289982142857153</v>
      </c>
      <c r="M45" s="350" t="s">
        <v>1741</v>
      </c>
      <c r="N45" s="283" t="s">
        <v>2722</v>
      </c>
      <c r="O45" s="283" t="s">
        <v>1867</v>
      </c>
      <c r="P45" s="283">
        <f>3*140</f>
        <v>420</v>
      </c>
      <c r="Q45" s="283">
        <f>3*(113.805975)</f>
        <v>341.41792500000003</v>
      </c>
      <c r="R45" s="57">
        <f>IFERROR(Table6[[#This Row],[Redbook WAC price per tablet/capsule (Jan 2017)]]/Table6[[#This Row],[Redbook package strength (mg) (Jan 2017)]], "")</f>
        <v>0.81289982142857153</v>
      </c>
      <c r="S45" s="350" t="s">
        <v>1741</v>
      </c>
      <c r="T45" s="283" t="s">
        <v>2722</v>
      </c>
      <c r="U45" s="57" t="s">
        <v>1867</v>
      </c>
      <c r="V45" s="57">
        <f>3*140</f>
        <v>420</v>
      </c>
      <c r="W45" s="92">
        <f>3*(123.365691667)</f>
        <v>370.09707500100001</v>
      </c>
      <c r="X45" s="284">
        <f>IFERROR(Table6[[#This Row],[Redbook WAC price per tablet/capsule (Jul 2017)]]/Table6[[#This Row],[Redbook package strength (mg) (Jul 2017)]], "")</f>
        <v>0.88118351190714284</v>
      </c>
      <c r="Y45" s="298" t="s">
        <v>1741</v>
      </c>
      <c r="Z45" s="283" t="s">
        <v>2722</v>
      </c>
      <c r="AA45" s="57" t="s">
        <v>1867</v>
      </c>
      <c r="AB45" s="57">
        <f>3*140</f>
        <v>420</v>
      </c>
      <c r="AC45" s="92">
        <f>3*(123.365691667)</f>
        <v>370.09707500100001</v>
      </c>
      <c r="AD45" s="390">
        <f>Table6[[#This Row],[Redbook WAC price per tablet/capsule (Jan 2018)]]/Table6[[#This Row],[Redbook package strength (mg) (Jan 2018)]]</f>
        <v>0.88118351190714284</v>
      </c>
      <c r="AE45" s="298" t="s">
        <v>1741</v>
      </c>
      <c r="AF45" s="405"/>
      <c r="AG45" s="406"/>
      <c r="AH45" s="407"/>
      <c r="AI45" s="399"/>
      <c r="AJ45" s="399" t="e">
        <f>Table6[[#This Row],[Redbook WAC price per tablet/capsule (Jul 2018)]]/Table6[[#This Row],[Redbook package strength (mg) (Jul 2018)]]</f>
        <v>#DIV/0!</v>
      </c>
      <c r="AK45" s="404"/>
      <c r="AL45" s="408"/>
      <c r="AM45" s="57"/>
      <c r="AN45" s="57"/>
      <c r="AO45" s="58"/>
      <c r="AP45" s="58" t="str">
        <f>IFERROR(Table6[[#This Row],[Redbook WAC price per tablet/capsule (Jan 2019)]]/Table6[[#This Row],[Redbook package strength (mg) (Jan 2019)]], "")</f>
        <v/>
      </c>
      <c r="AQ45" s="74"/>
      <c r="AR45" s="73"/>
      <c r="AS45" s="57"/>
      <c r="AT45" s="57"/>
      <c r="AU45" s="58"/>
      <c r="AV45" s="58" t="str">
        <f>IFERROR(Table6[[#This Row],[Redbook WAC price per tablet/capsule (Jul 2019)]]/Table6[[#This Row],[Redbook package strength (mg) (Jul 2019)]], "")</f>
        <v/>
      </c>
      <c r="AW45" s="74"/>
      <c r="AX45" s="73"/>
      <c r="AY45" s="57"/>
      <c r="AZ45" s="57"/>
      <c r="BA45" s="59"/>
      <c r="BB45" s="59" t="str">
        <f>IFERROR(Table6[[#This Row],[Redbook WAC price per tablet/capsule (Jan 2020)]]/Table6[[#This Row],[Redbook package strength (mg) (Jan 2020)]], "")</f>
        <v/>
      </c>
      <c r="BD45" s="73"/>
      <c r="BE45" s="57"/>
      <c r="BF45" s="57"/>
      <c r="BG45" s="58"/>
      <c r="BH45" s="58" t="str">
        <f>IFERROR(Table6[[#This Row],[Redbook WAC price per tablet/capsule (Jul 2020)]]/Table6[[#This Row],[Redbook package strength (mg) (Jul 2020)]], "")</f>
        <v/>
      </c>
      <c r="BI45" s="74"/>
      <c r="BJ45" s="57"/>
      <c r="BK45" s="57"/>
      <c r="BL45" s="57"/>
      <c r="BM45" s="58"/>
      <c r="BN45" s="58" t="str">
        <f>IFERROR(Table6[[#This Row],[Redbook WAC price per tablet/capsule (Jan 2021)]]/Table6[[#This Row],[Redbook package strength (mg) (Jan 2021)]], "")</f>
        <v/>
      </c>
      <c r="BO45" s="57"/>
      <c r="BP45" s="73"/>
      <c r="BQ45" s="57"/>
      <c r="BR45" s="57"/>
      <c r="BS45" s="58"/>
      <c r="BT45" s="58" t="str">
        <f>IFERROR(Table6[[#This Row],[Redbook WAC price per tablet/capsule (Jul 2021)]]/Table6[[#This Row],[Redbook package strength (mg) (Jul 2021)]], "")</f>
        <v/>
      </c>
      <c r="BU45" s="57"/>
      <c r="BV45" s="186"/>
      <c r="BW45" s="158"/>
      <c r="BX45" s="57"/>
      <c r="BY45" s="58"/>
      <c r="BZ45" s="58" t="str">
        <f>IFERROR(Table6[[#This Row],[Redbook WAC price per tablet/capsule (Jan 2022)]]/Table6[[#This Row],[Redbook package strength (mg) (Jan 2022)]], "")</f>
        <v/>
      </c>
      <c r="CA45" s="74"/>
      <c r="CB45" s="57"/>
      <c r="CC45" s="158"/>
      <c r="CD45" s="57"/>
      <c r="CE45" s="58"/>
      <c r="CF45" s="247" t="str">
        <f>IFERROR(Table6[[#This Row],[Redbook WAC price per tablet/capsule (Jul 2022)]]/Table6[[#This Row],[Redbook package strength (mg) (Jul 2022)]], "")</f>
        <v/>
      </c>
      <c r="CG45" s="74"/>
      <c r="CH45" s="57"/>
      <c r="CI45" s="57"/>
      <c r="CJ45" s="57"/>
      <c r="CK45" s="58"/>
      <c r="CL45" s="58" t="str">
        <f>IFERROR(Table6[[#This Row],[Redbook WAC price per tablet/capsule (Jan 2023)]]/Table6[[#This Row],[Redbook package strength (mg) (Jan 2023)]], "")</f>
        <v/>
      </c>
      <c r="CM45" s="57"/>
      <c r="CN45" t="s">
        <v>2724</v>
      </c>
    </row>
    <row r="46" spans="1:92" x14ac:dyDescent="0.3">
      <c r="A46" s="91" t="s">
        <v>2719</v>
      </c>
      <c r="B46" s="283"/>
      <c r="C46" s="283"/>
      <c r="D46" s="283"/>
      <c r="E46" s="283"/>
      <c r="F46" s="409" t="str">
        <f>IFERROR(Table6[[#This Row],[Redbook WAC price per tablet/capsule (Jan 2016)]]/Table6[[#This Row],[Redbook package strength (mg) (Jan 2016)]], "")</f>
        <v/>
      </c>
      <c r="G46" s="350"/>
      <c r="H46" s="283"/>
      <c r="I46" s="283"/>
      <c r="J46" s="283"/>
      <c r="K46" s="283"/>
      <c r="L46" s="57" t="str">
        <f>IFERROR(Table6[[#This Row],[Redbook WAC price per tablet/capsule (Jul 2016)]]/Table6[[#This Row],[Redbook package strength (mg) (Jul 2016)]], "")</f>
        <v/>
      </c>
      <c r="M46" s="350"/>
      <c r="N46" s="283"/>
      <c r="O46" s="283"/>
      <c r="P46" s="283"/>
      <c r="Q46" s="283"/>
      <c r="R46" s="57" t="str">
        <f>IFERROR(Table6[[#This Row],[Redbook WAC price per tablet/capsule (Jan 2017)]]/Table6[[#This Row],[Redbook package strength (mg) (Jan 2017)]], "")</f>
        <v/>
      </c>
      <c r="S46" s="350"/>
      <c r="T46" s="283"/>
      <c r="U46" s="57"/>
      <c r="V46" s="57"/>
      <c r="W46" s="92"/>
      <c r="X46" s="284" t="str">
        <f>IFERROR(Table6[[#This Row],[Redbook WAC price per tablet/capsule (Jul 2017)]]/Table6[[#This Row],[Redbook package strength (mg) (Jul 2017)]], "")</f>
        <v/>
      </c>
      <c r="Y46" s="298"/>
      <c r="Z46" s="388" t="s">
        <v>2723</v>
      </c>
      <c r="AA46" s="406" t="s">
        <v>1867</v>
      </c>
      <c r="AB46" s="403">
        <v>420</v>
      </c>
      <c r="AC46" s="390"/>
      <c r="AD46" s="390">
        <f>Table6[[#This Row],[Redbook WAC price per tablet/capsule (Jan 2018)]]/Table6[[#This Row],[Redbook package strength (mg) (Jan 2018)]]</f>
        <v>0</v>
      </c>
      <c r="AE46" s="404"/>
      <c r="AF46" s="405" t="s">
        <v>2723</v>
      </c>
      <c r="AG46" s="389" t="s">
        <v>1867</v>
      </c>
      <c r="AH46" s="407">
        <v>420</v>
      </c>
      <c r="AI46" s="399">
        <v>405.99672500000003</v>
      </c>
      <c r="AJ46" s="399">
        <f>Table6[[#This Row],[Redbook WAC price per tablet/capsule (Jul 2018)]]/Table6[[#This Row],[Redbook package strength (mg) (Jul 2018)]]</f>
        <v>0.96665886904761911</v>
      </c>
      <c r="AK46" s="404" t="s">
        <v>1741</v>
      </c>
      <c r="AL46" s="408" t="s">
        <v>2723</v>
      </c>
      <c r="AM46" s="57" t="s">
        <v>1867</v>
      </c>
      <c r="AN46" s="57">
        <v>420</v>
      </c>
      <c r="AO46" s="58">
        <v>405.99672500000003</v>
      </c>
      <c r="AP46" s="58">
        <f>IFERROR(Table6[[#This Row],[Redbook WAC price per tablet/capsule (Jan 2019)]]/Table6[[#This Row],[Redbook package strength (mg) (Jan 2019)]], "")</f>
        <v>0.96665886904761911</v>
      </c>
      <c r="AQ46" s="74" t="s">
        <v>1741</v>
      </c>
      <c r="AR46" s="73" t="s">
        <v>2723</v>
      </c>
      <c r="AS46" s="57" t="s">
        <v>1867</v>
      </c>
      <c r="AT46" s="57">
        <v>420</v>
      </c>
      <c r="AU46" s="58">
        <v>431.16845000000001</v>
      </c>
      <c r="AV46" s="58">
        <f>IFERROR(Table6[[#This Row],[Redbook WAC price per tablet/capsule (Jul 2019)]]/Table6[[#This Row],[Redbook package strength (mg) (Jul 2019)]], "")</f>
        <v>1.0265915476190477</v>
      </c>
      <c r="AW46" s="74" t="s">
        <v>1741</v>
      </c>
      <c r="AX46" s="73" t="s">
        <v>2723</v>
      </c>
      <c r="AY46" s="57" t="s">
        <v>1867</v>
      </c>
      <c r="AZ46" s="57">
        <v>420</v>
      </c>
      <c r="BA46" s="59">
        <v>431.16845000000001</v>
      </c>
      <c r="BB46" s="59">
        <f>IFERROR(Table6[[#This Row],[Redbook WAC price per tablet/capsule (Jan 2020)]]/Table6[[#This Row],[Redbook package strength (mg) (Jan 2020)]], "")</f>
        <v>1.0265915476190477</v>
      </c>
      <c r="BC46" t="s">
        <v>1741</v>
      </c>
      <c r="BD46" s="73" t="s">
        <v>2723</v>
      </c>
      <c r="BE46" s="57" t="s">
        <v>1867</v>
      </c>
      <c r="BF46" s="57">
        <v>420</v>
      </c>
      <c r="BG46" s="58">
        <v>463.07499999999999</v>
      </c>
      <c r="BH46" s="58">
        <f>IFERROR(Table6[[#This Row],[Redbook WAC price per tablet/capsule (Jul 2020)]]/Table6[[#This Row],[Redbook package strength (mg) (Jul 2020)]], "")</f>
        <v>1.1025595238095238</v>
      </c>
      <c r="BI46" s="74" t="s">
        <v>1741</v>
      </c>
      <c r="BJ46" s="57" t="s">
        <v>2723</v>
      </c>
      <c r="BK46" s="57" t="s">
        <v>1867</v>
      </c>
      <c r="BL46" s="57">
        <v>420</v>
      </c>
      <c r="BM46" s="58">
        <v>497.342558333</v>
      </c>
      <c r="BN46" s="58">
        <f>IFERROR(Table6[[#This Row],[Redbook WAC price per tablet/capsule (Jan 2021)]]/Table6[[#This Row],[Redbook package strength (mg) (Jan 2021)]], "")</f>
        <v>1.1841489484119048</v>
      </c>
      <c r="BO46" s="57" t="s">
        <v>1741</v>
      </c>
      <c r="BP46" s="73" t="s">
        <v>2723</v>
      </c>
      <c r="BQ46" s="57" t="s">
        <v>1867</v>
      </c>
      <c r="BR46" s="57">
        <v>420</v>
      </c>
      <c r="BS46" s="58">
        <v>497.342558333</v>
      </c>
      <c r="BT46" s="58">
        <f>IFERROR(Table6[[#This Row],[Redbook WAC price per tablet/capsule (Jul 2021)]]/Table6[[#This Row],[Redbook package strength (mg) (Jul 2021)]], "")</f>
        <v>1.1841489484119048</v>
      </c>
      <c r="BU46" s="57" t="s">
        <v>1741</v>
      </c>
      <c r="BV46" s="186" t="s">
        <v>2723</v>
      </c>
      <c r="BW46" s="158" t="s">
        <v>1867</v>
      </c>
      <c r="BX46" s="57">
        <v>420</v>
      </c>
      <c r="BY46" s="58">
        <v>497.342558333</v>
      </c>
      <c r="BZ46" s="58">
        <f>IFERROR(Table6[[#This Row],[Redbook WAC price per tablet/capsule (Jan 2022)]]/Table6[[#This Row],[Redbook package strength (mg) (Jan 2022)]], "")</f>
        <v>1.1841489484119048</v>
      </c>
      <c r="CA46" s="74" t="s">
        <v>1741</v>
      </c>
      <c r="CB46" s="57" t="s">
        <v>2723</v>
      </c>
      <c r="CC46" s="158" t="s">
        <v>1867</v>
      </c>
      <c r="CD46" s="57">
        <v>420</v>
      </c>
      <c r="CE46" s="58">
        <v>534.14583333300004</v>
      </c>
      <c r="CF46" s="247">
        <f>IFERROR(Table6[[#This Row],[Redbook WAC price per tablet/capsule (Jul 2022)]]/Table6[[#This Row],[Redbook package strength (mg) (Jul 2022)]], "")</f>
        <v>1.27177579365</v>
      </c>
      <c r="CG46" s="74" t="s">
        <v>1741</v>
      </c>
      <c r="CH46" s="57" t="s">
        <v>2723</v>
      </c>
      <c r="CI46" s="57" t="s">
        <v>1867</v>
      </c>
      <c r="CJ46" s="57">
        <v>420</v>
      </c>
      <c r="CK46" s="58">
        <v>567.26279999999997</v>
      </c>
      <c r="CL46" s="58">
        <f>IFERROR(Table6[[#This Row],[Redbook WAC price per tablet/capsule (Jan 2023)]]/Table6[[#This Row],[Redbook package strength (mg) (Jan 2023)]], "")</f>
        <v>1.3506257142857143</v>
      </c>
      <c r="CM46" s="57" t="s">
        <v>1741</v>
      </c>
    </row>
    <row r="47" spans="1:92" x14ac:dyDescent="0.3">
      <c r="A47" s="91" t="s">
        <v>2720</v>
      </c>
      <c r="B47" s="158"/>
      <c r="C47" s="158"/>
      <c r="D47" s="158"/>
      <c r="E47" s="158"/>
      <c r="F47" s="158" t="str">
        <f>IFERROR(Table6[[#This Row],[Redbook WAC price per tablet/capsule (Jan 2016)]]/Table6[[#This Row],[Redbook package strength (mg) (Jan 2016)]], "")</f>
        <v/>
      </c>
      <c r="G47" s="191"/>
      <c r="H47" s="283" t="s">
        <v>1868</v>
      </c>
      <c r="I47" s="283" t="s">
        <v>1867</v>
      </c>
      <c r="J47" s="283">
        <v>560</v>
      </c>
      <c r="K47" s="283">
        <v>405.99672500000003</v>
      </c>
      <c r="L47" s="57">
        <f>IFERROR(Table6[[#This Row],[Redbook WAC price per tablet/capsule (Jul 2016)]]/Table6[[#This Row],[Redbook package strength (mg) (Jul 2016)]], "")</f>
        <v>0.72499415178571436</v>
      </c>
      <c r="M47" s="350" t="s">
        <v>1741</v>
      </c>
      <c r="N47" s="283" t="s">
        <v>1868</v>
      </c>
      <c r="O47" s="158" t="s">
        <v>1867</v>
      </c>
      <c r="P47" s="158">
        <v>560</v>
      </c>
      <c r="Q47" s="158">
        <v>405.99672500000003</v>
      </c>
      <c r="R47" s="57">
        <f>IFERROR(Table6[[#This Row],[Redbook WAC price per tablet/capsule (Jan 2017)]]/Table6[[#This Row],[Redbook package strength (mg) (Jan 2017)]], "")</f>
        <v>0.72499415178571436</v>
      </c>
      <c r="S47" s="191" t="s">
        <v>1741</v>
      </c>
      <c r="T47" s="361" t="s">
        <v>1868</v>
      </c>
      <c r="U47" s="356" t="s">
        <v>1867</v>
      </c>
      <c r="V47" s="356">
        <v>560</v>
      </c>
      <c r="W47" s="357">
        <f>(487.19607/1.2)</f>
        <v>405.99672500000003</v>
      </c>
      <c r="X47" s="358">
        <f>IFERROR(Table6[[#This Row],[Redbook WAC price per tablet/capsule (Jul 2017)]]/Table6[[#This Row],[Redbook package strength (mg) (Jul 2017)]], "")</f>
        <v>0.72499415178571436</v>
      </c>
      <c r="Y47" s="356" t="s">
        <v>1741</v>
      </c>
      <c r="Z47" s="402"/>
      <c r="AA47" s="401"/>
      <c r="AB47" s="158"/>
      <c r="AC47" s="390"/>
      <c r="AD47" s="390" t="e">
        <f>Table6[[#This Row],[Redbook WAC price per tablet/capsule (Jan 2018)]]/Table6[[#This Row],[Redbook package strength (mg) (Jan 2018)]]</f>
        <v>#DIV/0!</v>
      </c>
      <c r="AE47" s="391"/>
      <c r="AF47" s="388" t="s">
        <v>1868</v>
      </c>
      <c r="AG47" s="389" t="s">
        <v>1867</v>
      </c>
      <c r="AH47" s="397">
        <v>560</v>
      </c>
      <c r="AI47" s="399">
        <v>405.99672500000003</v>
      </c>
      <c r="AJ47" s="399">
        <f>Table6[[#This Row],[Redbook WAC price per tablet/capsule (Jul 2018)]]/Table6[[#This Row],[Redbook package strength (mg) (Jul 2018)]]</f>
        <v>0.72499415178571436</v>
      </c>
      <c r="AK47" s="391" t="s">
        <v>1741</v>
      </c>
      <c r="AL47" s="57" t="s">
        <v>1868</v>
      </c>
      <c r="AM47" s="57" t="s">
        <v>1867</v>
      </c>
      <c r="AN47" s="57">
        <v>560</v>
      </c>
      <c r="AO47" s="58">
        <v>405.99680000000001</v>
      </c>
      <c r="AP47" s="58">
        <f>IFERROR(Table6[[#This Row],[Redbook WAC price per tablet/capsule (Jan 2019)]]/Table6[[#This Row],[Redbook package strength (mg) (Jan 2019)]], "")</f>
        <v>0.7249942857142857</v>
      </c>
      <c r="AQ47" s="74" t="s">
        <v>1741</v>
      </c>
      <c r="AR47" s="73" t="s">
        <v>1868</v>
      </c>
      <c r="AS47" s="57" t="s">
        <v>1867</v>
      </c>
      <c r="AT47" s="57">
        <v>560</v>
      </c>
      <c r="AU47" s="58">
        <v>431.16860000000003</v>
      </c>
      <c r="AV47" s="58">
        <f>IFERROR(Table6[[#This Row],[Redbook WAC price per tablet/capsule (Jul 2019)]]/Table6[[#This Row],[Redbook package strength (mg) (Jul 2019)]], "")</f>
        <v>0.76994392857142857</v>
      </c>
      <c r="AW47" s="74" t="s">
        <v>1741</v>
      </c>
      <c r="AX47" s="73" t="s">
        <v>1868</v>
      </c>
      <c r="AY47" s="57" t="s">
        <v>1867</v>
      </c>
      <c r="AZ47" s="57">
        <v>560</v>
      </c>
      <c r="BA47" s="59">
        <v>431.16860000000003</v>
      </c>
      <c r="BB47" s="59">
        <f>IFERROR(Table6[[#This Row],[Redbook WAC price per tablet/capsule (Jan 2020)]]/Table6[[#This Row],[Redbook package strength (mg) (Jan 2020)]], "")</f>
        <v>0.76994392857142857</v>
      </c>
      <c r="BC47" t="s">
        <v>1741</v>
      </c>
      <c r="BD47" s="73" t="s">
        <v>1868</v>
      </c>
      <c r="BE47" s="57" t="s">
        <v>1867</v>
      </c>
      <c r="BF47" s="57">
        <v>560</v>
      </c>
      <c r="BG47" s="58">
        <v>463.07499999999999</v>
      </c>
      <c r="BH47" s="58">
        <f>IFERROR(Table6[[#This Row],[Redbook WAC price per tablet/capsule (Jul 2020)]]/Table6[[#This Row],[Redbook package strength (mg) (Jul 2020)]], "")</f>
        <v>0.82691964285714281</v>
      </c>
      <c r="BI47" s="74" t="s">
        <v>1741</v>
      </c>
      <c r="BJ47" s="57" t="s">
        <v>1868</v>
      </c>
      <c r="BK47" s="57" t="s">
        <v>1867</v>
      </c>
      <c r="BL47" s="57">
        <v>560</v>
      </c>
      <c r="BM47" s="58">
        <v>497.34255999999999</v>
      </c>
      <c r="BN47" s="58">
        <f>IFERROR(Table6[[#This Row],[Redbook WAC price per tablet/capsule (Jan 2021)]]/Table6[[#This Row],[Redbook package strength (mg) (Jan 2021)]], "")</f>
        <v>0.88811171428571423</v>
      </c>
      <c r="BO47" s="57" t="s">
        <v>1741</v>
      </c>
      <c r="BP47" s="73" t="s">
        <v>1868</v>
      </c>
      <c r="BQ47" s="57" t="s">
        <v>1867</v>
      </c>
      <c r="BR47" s="57">
        <v>560</v>
      </c>
      <c r="BS47" s="58">
        <v>497.34255999999999</v>
      </c>
      <c r="BT47" s="58">
        <f>IFERROR(Table6[[#This Row],[Redbook WAC price per tablet/capsule (Jul 2021)]]/Table6[[#This Row],[Redbook package strength (mg) (Jul 2021)]], "")</f>
        <v>0.88811171428571423</v>
      </c>
      <c r="BU47" s="57" t="s">
        <v>1741</v>
      </c>
      <c r="BV47" s="186" t="s">
        <v>1868</v>
      </c>
      <c r="BW47" s="158" t="s">
        <v>1867</v>
      </c>
      <c r="BX47" s="57">
        <v>560</v>
      </c>
      <c r="BY47" s="58">
        <v>497.34</v>
      </c>
      <c r="BZ47" s="58">
        <f>IFERROR(Table6[[#This Row],[Redbook WAC price per tablet/capsule (Jan 2022)]]/Table6[[#This Row],[Redbook package strength (mg) (Jan 2022)]], "")</f>
        <v>0.88810714285714276</v>
      </c>
      <c r="CA47" s="74" t="s">
        <v>1741</v>
      </c>
      <c r="CB47" s="57" t="s">
        <v>1868</v>
      </c>
      <c r="CC47" s="158" t="s">
        <v>1867</v>
      </c>
      <c r="CD47" s="57">
        <v>560</v>
      </c>
      <c r="CE47" s="58">
        <v>534.14571000000001</v>
      </c>
      <c r="CF47" s="247">
        <f>IFERROR(Table6[[#This Row],[Redbook WAC price per tablet/capsule (Jul 2022)]]/Table6[[#This Row],[Redbook package strength (mg) (Jul 2022)]], "")</f>
        <v>0.95383162499999996</v>
      </c>
      <c r="CG47" s="74" t="s">
        <v>1741</v>
      </c>
      <c r="CH47" s="57" t="s">
        <v>1868</v>
      </c>
      <c r="CI47" s="57" t="s">
        <v>1867</v>
      </c>
      <c r="CJ47" s="57">
        <v>560</v>
      </c>
      <c r="CK47" s="58">
        <v>567.26286000000005</v>
      </c>
      <c r="CL47" s="58">
        <f>IFERROR(Table6[[#This Row],[Redbook WAC price per tablet/capsule (Jan 2023)]]/Table6[[#This Row],[Redbook package strength (mg) (Jan 2023)]], "")</f>
        <v>1.012969392857143</v>
      </c>
      <c r="CM47" s="57" t="s">
        <v>1741</v>
      </c>
    </row>
    <row r="48" spans="1:92" x14ac:dyDescent="0.3">
      <c r="A48" s="85" t="s">
        <v>98</v>
      </c>
      <c r="B48" s="57"/>
      <c r="C48" s="57"/>
      <c r="D48" s="57"/>
      <c r="E48" s="57"/>
      <c r="F48" s="57" t="str">
        <f>IFERROR(Table6[[#This Row],[Redbook WAC price per tablet/capsule (Jan 2016)]]/Table6[[#This Row],[Redbook package strength (mg) (Jan 2016)]], "")</f>
        <v/>
      </c>
      <c r="G48" s="74"/>
      <c r="H48" s="57" t="s">
        <v>1782</v>
      </c>
      <c r="I48" s="57" t="s">
        <v>1503</v>
      </c>
      <c r="J48" s="57">
        <v>100</v>
      </c>
      <c r="K48" s="57">
        <v>79.664933333299999</v>
      </c>
      <c r="L48" s="57">
        <f>IFERROR(Table6[[#This Row],[Redbook WAC price per tablet/capsule (Jul 2016)]]/Table6[[#This Row],[Redbook package strength (mg) (Jul 2016)]], "")</f>
        <v>0.79664933333300003</v>
      </c>
      <c r="M48" s="74" t="s">
        <v>1741</v>
      </c>
      <c r="N48" s="57" t="s">
        <v>1782</v>
      </c>
      <c r="O48" s="57" t="s">
        <v>1503</v>
      </c>
      <c r="P48" s="57">
        <v>100</v>
      </c>
      <c r="Q48" s="57">
        <v>86.0380583333</v>
      </c>
      <c r="R48" s="57">
        <f>IFERROR(Table6[[#This Row],[Redbook WAC price per tablet/capsule (Jan 2017)]]/Table6[[#This Row],[Redbook package strength (mg) (Jan 2017)]], "")</f>
        <v>0.86038058333300005</v>
      </c>
      <c r="S48" s="74" t="s">
        <v>1741</v>
      </c>
      <c r="T48" s="356" t="s">
        <v>1782</v>
      </c>
      <c r="U48" s="356" t="s">
        <v>1503</v>
      </c>
      <c r="V48" s="356">
        <v>100</v>
      </c>
      <c r="W48" s="358">
        <v>86.0380583333</v>
      </c>
      <c r="X48" s="358">
        <f>IFERROR(Table6[[#This Row],[Redbook WAC price per tablet/capsule (Jul 2017)]]/Table6[[#This Row],[Redbook package strength (mg) (Jul 2017)]], "")</f>
        <v>0.86038058333300005</v>
      </c>
      <c r="Y48" s="356" t="s">
        <v>1741</v>
      </c>
      <c r="Z48" s="388" t="s">
        <v>1782</v>
      </c>
      <c r="AA48" s="389" t="s">
        <v>1503</v>
      </c>
      <c r="AB48" s="158">
        <v>100</v>
      </c>
      <c r="AC48" s="390">
        <v>86.038058333333339</v>
      </c>
      <c r="AD48" s="390">
        <f>Table6[[#This Row],[Redbook WAC price per tablet/capsule (Jan 2018)]]/Table6[[#This Row],[Redbook package strength (mg) (Jan 2018)]]</f>
        <v>0.86038058333333334</v>
      </c>
      <c r="AE48" s="391" t="s">
        <v>1741</v>
      </c>
      <c r="AF48" s="388" t="s">
        <v>1782</v>
      </c>
      <c r="AG48" s="389" t="s">
        <v>1503</v>
      </c>
      <c r="AH48" s="397">
        <v>100</v>
      </c>
      <c r="AI48" s="399">
        <v>92.921183333333332</v>
      </c>
      <c r="AJ48" s="399">
        <f>Table6[[#This Row],[Redbook WAC price per tablet/capsule (Jul 2018)]]/Table6[[#This Row],[Redbook package strength (mg) (Jul 2018)]]</f>
        <v>0.92921183333333335</v>
      </c>
      <c r="AK48" s="391" t="s">
        <v>1741</v>
      </c>
      <c r="AL48" s="57" t="s">
        <v>1782</v>
      </c>
      <c r="AM48" s="57" t="s">
        <v>1503</v>
      </c>
      <c r="AN48" s="57">
        <v>100</v>
      </c>
      <c r="AO48" s="58">
        <v>92.921199999999999</v>
      </c>
      <c r="AP48" s="58">
        <f>IFERROR(Table6[[#This Row],[Redbook WAC price per tablet/capsule (Jan 2019)]]/Table6[[#This Row],[Redbook package strength (mg) (Jan 2019)]], "")</f>
        <v>0.92921200000000004</v>
      </c>
      <c r="AQ48" s="74" t="s">
        <v>1741</v>
      </c>
      <c r="AR48" s="73" t="s">
        <v>1782</v>
      </c>
      <c r="AS48" s="57" t="s">
        <v>1503</v>
      </c>
      <c r="AT48" s="57">
        <v>100</v>
      </c>
      <c r="AU48" s="58">
        <v>97.567300000000003</v>
      </c>
      <c r="AV48" s="58">
        <f>IFERROR(Table6[[#This Row],[Redbook WAC price per tablet/capsule (Jul 2019)]]/Table6[[#This Row],[Redbook package strength (mg) (Jul 2019)]], "")</f>
        <v>0.97567300000000001</v>
      </c>
      <c r="AW48" s="74" t="s">
        <v>1741</v>
      </c>
      <c r="AX48" s="73" t="s">
        <v>1782</v>
      </c>
      <c r="AY48" s="57" t="s">
        <v>1503</v>
      </c>
      <c r="AZ48" s="57">
        <v>100</v>
      </c>
      <c r="BA48" s="59">
        <v>102.4456</v>
      </c>
      <c r="BB48" s="59">
        <f>IFERROR(Table6[[#This Row],[Redbook WAC price per tablet/capsule (Jan 2020)]]/Table6[[#This Row],[Redbook package strength (mg) (Jan 2020)]], "")</f>
        <v>1.024456</v>
      </c>
      <c r="BC48" t="s">
        <v>1741</v>
      </c>
      <c r="BD48" s="73" t="s">
        <v>1782</v>
      </c>
      <c r="BE48" s="57" t="s">
        <v>1503</v>
      </c>
      <c r="BF48" s="57">
        <v>100</v>
      </c>
      <c r="BG48" s="58">
        <v>102.4456</v>
      </c>
      <c r="BH48" s="58">
        <f>IFERROR(Table6[[#This Row],[Redbook WAC price per tablet/capsule (Jul 2020)]]/Table6[[#This Row],[Redbook package strength (mg) (Jul 2020)]], "")</f>
        <v>1.024456</v>
      </c>
      <c r="BI48" s="74" t="s">
        <v>1741</v>
      </c>
      <c r="BJ48" s="57" t="s">
        <v>1782</v>
      </c>
      <c r="BK48" s="57" t="s">
        <v>1503</v>
      </c>
      <c r="BL48" s="57">
        <v>100</v>
      </c>
      <c r="BM48" s="58">
        <v>107.56785000000001</v>
      </c>
      <c r="BN48" s="58">
        <f>IFERROR(Table6[[#This Row],[Redbook WAC price per tablet/capsule (Jan 2021)]]/Table6[[#This Row],[Redbook package strength (mg) (Jan 2021)]], "")</f>
        <v>1.0756785</v>
      </c>
      <c r="BO48" s="57" t="s">
        <v>1741</v>
      </c>
      <c r="BP48" s="73" t="s">
        <v>1782</v>
      </c>
      <c r="BQ48" s="57" t="s">
        <v>1503</v>
      </c>
      <c r="BR48" s="57">
        <v>100</v>
      </c>
      <c r="BS48" s="58">
        <v>107.56785000000001</v>
      </c>
      <c r="BT48" s="58">
        <f>IFERROR(Table6[[#This Row],[Redbook WAC price per tablet/capsule (Jul 2021)]]/Table6[[#This Row],[Redbook package strength (mg) (Jul 2021)]], "")</f>
        <v>1.0756785</v>
      </c>
      <c r="BU48" s="57" t="s">
        <v>1741</v>
      </c>
      <c r="BV48" s="186" t="s">
        <v>2069</v>
      </c>
      <c r="BW48" s="158" t="s">
        <v>1503</v>
      </c>
      <c r="BX48" s="57">
        <v>100</v>
      </c>
      <c r="BY48" s="58">
        <v>107.57</v>
      </c>
      <c r="BZ48" s="58">
        <f>IFERROR(Table6[[#This Row],[Redbook WAC price per tablet/capsule (Jan 2022)]]/Table6[[#This Row],[Redbook package strength (mg) (Jan 2022)]], "")</f>
        <v>1.0756999999999999</v>
      </c>
      <c r="CA48" s="74" t="s">
        <v>1741</v>
      </c>
      <c r="CB48" s="57" t="s">
        <v>1782</v>
      </c>
      <c r="CC48" s="158" t="s">
        <v>1503</v>
      </c>
      <c r="CD48" s="57">
        <v>100</v>
      </c>
      <c r="CE48" s="58">
        <v>112.4084</v>
      </c>
      <c r="CF48" s="247">
        <f>IFERROR(Table6[[#This Row],[Redbook WAC price per tablet/capsule (Jul 2022)]]/Table6[[#This Row],[Redbook package strength (mg) (Jul 2022)]], "")</f>
        <v>1.1240840000000001</v>
      </c>
      <c r="CG48" s="74" t="s">
        <v>1741</v>
      </c>
      <c r="CH48" s="57" t="s">
        <v>2395</v>
      </c>
      <c r="CI48" s="57" t="s">
        <v>1503</v>
      </c>
      <c r="CJ48" s="57">
        <v>100</v>
      </c>
      <c r="CK48" s="58">
        <v>123.27464000000001</v>
      </c>
      <c r="CL48" s="58">
        <f>IFERROR(Table6[[#This Row],[Redbook WAC price per tablet/capsule (Jan 2023)]]/Table6[[#This Row],[Redbook package strength (mg) (Jan 2023)]], "")</f>
        <v>1.2327464000000001</v>
      </c>
      <c r="CM48" s="57" t="s">
        <v>1741</v>
      </c>
    </row>
    <row r="49" spans="1:92" x14ac:dyDescent="0.3">
      <c r="A49" s="83" t="s">
        <v>107</v>
      </c>
      <c r="B49" s="57" t="s">
        <v>1801</v>
      </c>
      <c r="C49" s="57" t="s">
        <v>1504</v>
      </c>
      <c r="D49" s="57">
        <v>50</v>
      </c>
      <c r="E49" s="57">
        <v>504.87024166700002</v>
      </c>
      <c r="F49" s="57">
        <f>IFERROR(Table6[[#This Row],[Redbook WAC price per tablet/capsule (Jan 2016)]]/Table6[[#This Row],[Redbook package strength (mg) (Jan 2016)]], "")</f>
        <v>10.097404833340001</v>
      </c>
      <c r="G49" s="74" t="s">
        <v>1741</v>
      </c>
      <c r="H49" s="248" t="s">
        <v>1801</v>
      </c>
      <c r="I49" s="248" t="s">
        <v>1504</v>
      </c>
      <c r="J49" s="248">
        <v>50</v>
      </c>
      <c r="K49" s="57">
        <v>504.87024166700002</v>
      </c>
      <c r="L49" s="57">
        <f>IFERROR(Table6[[#This Row],[Redbook WAC price per tablet/capsule (Jul 2016)]]/Table6[[#This Row],[Redbook package strength (mg) (Jul 2016)]], "")</f>
        <v>10.097404833340001</v>
      </c>
      <c r="M49" s="74" t="s">
        <v>1741</v>
      </c>
      <c r="N49" s="57" t="s">
        <v>1801</v>
      </c>
      <c r="O49" s="57" t="s">
        <v>1504</v>
      </c>
      <c r="P49" s="57">
        <v>50</v>
      </c>
      <c r="Q49" s="57">
        <v>556.619641667</v>
      </c>
      <c r="R49" s="57">
        <f>IFERROR(Table6[[#This Row],[Redbook WAC price per tablet/capsule (Jan 2017)]]/Table6[[#This Row],[Redbook package strength (mg) (Jan 2017)]], "")</f>
        <v>11.132392833339999</v>
      </c>
      <c r="S49" s="74" t="s">
        <v>1741</v>
      </c>
      <c r="T49" s="57" t="s">
        <v>1801</v>
      </c>
      <c r="U49" s="57" t="s">
        <v>1504</v>
      </c>
      <c r="V49" s="57">
        <v>50</v>
      </c>
      <c r="W49" s="284">
        <f>(694.66107/1.2)</f>
        <v>578.88422500000001</v>
      </c>
      <c r="X49" s="284">
        <f>IFERROR(Table6[[#This Row],[Redbook WAC price per tablet/capsule (Jul 2017)]]/Table6[[#This Row],[Redbook package strength (mg) (Jul 2017)]], "")</f>
        <v>11.5776845</v>
      </c>
      <c r="Y49" s="57" t="s">
        <v>1741</v>
      </c>
      <c r="Z49" s="388" t="s">
        <v>1801</v>
      </c>
      <c r="AA49" s="389" t="s">
        <v>1504</v>
      </c>
      <c r="AB49" s="158">
        <v>50</v>
      </c>
      <c r="AC49" s="390">
        <v>578.88422500000001</v>
      </c>
      <c r="AD49" s="390">
        <f>Table6[[#This Row],[Redbook WAC price per tablet/capsule (Jan 2018)]]/Table6[[#This Row],[Redbook package strength (mg) (Jan 2018)]]</f>
        <v>11.5776845</v>
      </c>
      <c r="AE49" s="391" t="s">
        <v>1741</v>
      </c>
      <c r="AF49" s="388" t="s">
        <v>1801</v>
      </c>
      <c r="AG49" s="389" t="s">
        <v>1504</v>
      </c>
      <c r="AH49" s="397">
        <v>50</v>
      </c>
      <c r="AI49" s="399">
        <v>632.14166666666677</v>
      </c>
      <c r="AJ49" s="399">
        <f>Table6[[#This Row],[Redbook WAC price per tablet/capsule (Jul 2018)]]/Table6[[#This Row],[Redbook package strength (mg) (Jul 2018)]]</f>
        <v>12.642833333333336</v>
      </c>
      <c r="AK49" s="391" t="s">
        <v>1741</v>
      </c>
      <c r="AL49" s="57" t="s">
        <v>1801</v>
      </c>
      <c r="AM49" s="57" t="s">
        <v>1504</v>
      </c>
      <c r="AN49" s="57">
        <v>50</v>
      </c>
      <c r="AO49" s="58">
        <v>607.82860000000005</v>
      </c>
      <c r="AP49" s="58">
        <f>IFERROR(Table6[[#This Row],[Redbook WAC price per tablet/capsule (Jan 2019)]]/Table6[[#This Row],[Redbook package strength (mg) (Jan 2019)]], "")</f>
        <v>12.156572000000001</v>
      </c>
      <c r="AQ49" s="74" t="s">
        <v>1741</v>
      </c>
      <c r="AR49" s="73" t="s">
        <v>1801</v>
      </c>
      <c r="AS49" s="57" t="s">
        <v>1504</v>
      </c>
      <c r="AT49" s="57">
        <v>50</v>
      </c>
      <c r="AU49" s="58">
        <v>638.22</v>
      </c>
      <c r="AV49" s="58">
        <f>IFERROR(Table6[[#This Row],[Redbook WAC price per tablet/capsule (Jul 2019)]]/Table6[[#This Row],[Redbook package strength (mg) (Jul 2019)]], "")</f>
        <v>12.7644</v>
      </c>
      <c r="AW49" s="74" t="s">
        <v>1741</v>
      </c>
      <c r="AX49" s="73" t="s">
        <v>1801</v>
      </c>
      <c r="AY49" s="57" t="s">
        <v>1504</v>
      </c>
      <c r="AZ49" s="57">
        <v>50</v>
      </c>
      <c r="BA49" s="59">
        <v>670.13099999999997</v>
      </c>
      <c r="BB49" s="59">
        <f>IFERROR(Table6[[#This Row],[Redbook WAC price per tablet/capsule (Jan 2020)]]/Table6[[#This Row],[Redbook package strength (mg) (Jan 2020)]], "")</f>
        <v>13.402619999999999</v>
      </c>
      <c r="BC49" t="s">
        <v>1741</v>
      </c>
      <c r="BD49" s="73" t="s">
        <v>1801</v>
      </c>
      <c r="BE49" s="57" t="s">
        <v>1504</v>
      </c>
      <c r="BF49" s="57">
        <v>50</v>
      </c>
      <c r="BG49" s="58">
        <v>670.13099999999997</v>
      </c>
      <c r="BH49" s="58">
        <f>IFERROR(Table6[[#This Row],[Redbook WAC price per tablet/capsule (Jul 2020)]]/Table6[[#This Row],[Redbook package strength (mg) (Jul 2020)]], "")</f>
        <v>13.402619999999999</v>
      </c>
      <c r="BI49" s="74" t="s">
        <v>1741</v>
      </c>
      <c r="BJ49" s="57" t="s">
        <v>1801</v>
      </c>
      <c r="BK49" s="57" t="s">
        <v>1504</v>
      </c>
      <c r="BL49" s="57">
        <v>50</v>
      </c>
      <c r="BM49" s="58">
        <v>703.63750000000005</v>
      </c>
      <c r="BN49" s="58">
        <f>IFERROR(Table6[[#This Row],[Redbook WAC price per tablet/capsule (Jan 2021)]]/Table6[[#This Row],[Redbook package strength (mg) (Jan 2021)]], "")</f>
        <v>14.072750000000001</v>
      </c>
      <c r="BO49" s="57" t="s">
        <v>1741</v>
      </c>
      <c r="BP49" s="73" t="s">
        <v>1801</v>
      </c>
      <c r="BQ49" s="57" t="s">
        <v>1504</v>
      </c>
      <c r="BR49" s="57">
        <v>50</v>
      </c>
      <c r="BS49" s="58">
        <v>703.63750000000005</v>
      </c>
      <c r="BT49" s="58">
        <f>IFERROR(Table6[[#This Row],[Redbook WAC price per tablet/capsule (Jul 2021)]]/Table6[[#This Row],[Redbook package strength (mg) (Jul 2021)]], "")</f>
        <v>14.072750000000001</v>
      </c>
      <c r="BU49" s="57" t="s">
        <v>1741</v>
      </c>
      <c r="BV49" s="186" t="s">
        <v>2079</v>
      </c>
      <c r="BW49" s="158" t="s">
        <v>2078</v>
      </c>
      <c r="BX49" s="57">
        <v>37.5</v>
      </c>
      <c r="BY49" s="58">
        <v>545.65679</v>
      </c>
      <c r="BZ49" s="58">
        <f>IFERROR(Table6[[#This Row],[Redbook WAC price per tablet/capsule (Jan 2022)]]/Table6[[#This Row],[Redbook package strength (mg) (Jan 2022)]], "")</f>
        <v>14.550847733333333</v>
      </c>
      <c r="CA49" s="74" t="s">
        <v>1741</v>
      </c>
      <c r="CB49" s="57" t="s">
        <v>2079</v>
      </c>
      <c r="CC49" s="158" t="s">
        <v>2078</v>
      </c>
      <c r="CD49" s="57">
        <v>37.5</v>
      </c>
      <c r="CE49" s="58">
        <v>545.65679</v>
      </c>
      <c r="CF49" s="58">
        <f>IFERROR(Table6[[#This Row],[Redbook WAC price per tablet/capsule (Jul 2022)]]/Table6[[#This Row],[Redbook package strength (mg) (Jul 2022)]], "")</f>
        <v>14.550847733333333</v>
      </c>
      <c r="CG49" s="74" t="s">
        <v>1741</v>
      </c>
      <c r="CH49" s="57"/>
      <c r="CI49" s="57"/>
      <c r="CJ49" s="57"/>
      <c r="CK49" s="58"/>
      <c r="CL49" s="58" t="str">
        <f>IFERROR(Table6[[#This Row],[Redbook WAC price per tablet/capsule (Jan 2023)]]/Table6[[#This Row],[Redbook package strength (mg) (Jan 2023)]], "")</f>
        <v/>
      </c>
      <c r="CM49" s="57"/>
      <c r="CN49" t="s">
        <v>2080</v>
      </c>
    </row>
    <row r="50" spans="1:92" x14ac:dyDescent="0.3">
      <c r="A50" s="85" t="s">
        <v>108</v>
      </c>
      <c r="B50" s="57" t="s">
        <v>1802</v>
      </c>
      <c r="C50" s="57" t="s">
        <v>1505</v>
      </c>
      <c r="D50" s="57">
        <v>5</v>
      </c>
      <c r="E50" s="57">
        <v>198.852225</v>
      </c>
      <c r="F50" s="57">
        <f>IFERROR(Table6[[#This Row],[Redbook WAC price per tablet/capsule (Jan 2016)]]/Table6[[#This Row],[Redbook package strength (mg) (Jan 2016)]], "")</f>
        <v>39.770445000000002</v>
      </c>
      <c r="G50" s="74" t="s">
        <v>1741</v>
      </c>
      <c r="H50" s="57" t="s">
        <v>1802</v>
      </c>
      <c r="I50" s="57" t="s">
        <v>1505</v>
      </c>
      <c r="J50" s="57">
        <v>5</v>
      </c>
      <c r="K50" s="57">
        <v>208.79485833300001</v>
      </c>
      <c r="L50" s="57">
        <f>IFERROR(Table6[[#This Row],[Redbook WAC price per tablet/capsule (Jul 2016)]]/Table6[[#This Row],[Redbook package strength (mg) (Jul 2016)]], "")</f>
        <v>41.758971666600004</v>
      </c>
      <c r="M50" s="74" t="s">
        <v>1741</v>
      </c>
      <c r="N50" s="57" t="s">
        <v>1802</v>
      </c>
      <c r="O50" s="57" t="s">
        <v>1505</v>
      </c>
      <c r="P50" s="57">
        <v>5</v>
      </c>
      <c r="Q50" s="57">
        <v>219.234441667</v>
      </c>
      <c r="R50" s="57">
        <f>IFERROR(Table6[[#This Row],[Redbook WAC price per tablet/capsule (Jan 2017)]]/Table6[[#This Row],[Redbook package strength (mg) (Jan 2017)]], "")</f>
        <v>43.846888333400003</v>
      </c>
      <c r="S50" s="74" t="s">
        <v>1741</v>
      </c>
      <c r="T50" s="57" t="s">
        <v>1802</v>
      </c>
      <c r="U50" s="57" t="s">
        <v>1505</v>
      </c>
      <c r="V50" s="57">
        <v>5</v>
      </c>
      <c r="W50" s="284">
        <f>(273.60467/1.2)</f>
        <v>228.00389166666668</v>
      </c>
      <c r="X50" s="284">
        <f>IFERROR(Table6[[#This Row],[Redbook WAC price per tablet/capsule (Jul 2017)]]/Table6[[#This Row],[Redbook package strength (mg) (Jul 2017)]], "")</f>
        <v>45.600778333333338</v>
      </c>
      <c r="Y50" s="57" t="s">
        <v>1741</v>
      </c>
      <c r="Z50" s="388" t="s">
        <v>1802</v>
      </c>
      <c r="AA50" s="389" t="s">
        <v>1505</v>
      </c>
      <c r="AB50" s="158">
        <v>5</v>
      </c>
      <c r="AC50" s="390">
        <v>239.40402500000002</v>
      </c>
      <c r="AD50" s="390">
        <f>Table6[[#This Row],[Redbook WAC price per tablet/capsule (Jan 2018)]]/Table6[[#This Row],[Redbook package strength (mg) (Jan 2018)]]</f>
        <v>47.880805000000002</v>
      </c>
      <c r="AE50" s="391" t="s">
        <v>1741</v>
      </c>
      <c r="AF50" s="388" t="s">
        <v>1802</v>
      </c>
      <c r="AG50" s="389" t="s">
        <v>1505</v>
      </c>
      <c r="AH50" s="397">
        <v>5</v>
      </c>
      <c r="AI50" s="399">
        <v>248.98014166666667</v>
      </c>
      <c r="AJ50" s="399">
        <f>Table6[[#This Row],[Redbook WAC price per tablet/capsule (Jul 2018)]]/Table6[[#This Row],[Redbook package strength (mg) (Jul 2018)]]</f>
        <v>49.796028333333332</v>
      </c>
      <c r="AK50" s="391" t="s">
        <v>1741</v>
      </c>
      <c r="AL50" s="57" t="s">
        <v>1802</v>
      </c>
      <c r="AM50" s="57" t="s">
        <v>1505</v>
      </c>
      <c r="AN50" s="57">
        <v>5</v>
      </c>
      <c r="AO50" s="58">
        <v>239.404</v>
      </c>
      <c r="AP50" s="58">
        <f>IFERROR(Table6[[#This Row],[Redbook WAC price per tablet/capsule (Jan 2019)]]/Table6[[#This Row],[Redbook package strength (mg) (Jan 2019)]], "")</f>
        <v>47.880800000000001</v>
      </c>
      <c r="AQ50" s="74" t="s">
        <v>1741</v>
      </c>
      <c r="AR50" s="73" t="s">
        <v>1802</v>
      </c>
      <c r="AS50" s="57" t="s">
        <v>1505</v>
      </c>
      <c r="AT50" s="57">
        <v>5</v>
      </c>
      <c r="AU50" s="58">
        <v>251.3742</v>
      </c>
      <c r="AV50" s="58">
        <f>IFERROR(Table6[[#This Row],[Redbook WAC price per tablet/capsule (Jul 2019)]]/Table6[[#This Row],[Redbook package strength (mg) (Jul 2019)]], "")</f>
        <v>50.274839999999998</v>
      </c>
      <c r="AW50" s="74" t="s">
        <v>1741</v>
      </c>
      <c r="AX50" s="73" t="s">
        <v>1802</v>
      </c>
      <c r="AY50" s="57" t="s">
        <v>1505</v>
      </c>
      <c r="AZ50" s="57">
        <v>5</v>
      </c>
      <c r="BA50" s="59">
        <v>263.94279999999998</v>
      </c>
      <c r="BB50" s="59">
        <f>IFERROR(Table6[[#This Row],[Redbook WAC price per tablet/capsule (Jan 2020)]]/Table6[[#This Row],[Redbook package strength (mg) (Jan 2020)]], "")</f>
        <v>52.788559999999997</v>
      </c>
      <c r="BC50" t="s">
        <v>1741</v>
      </c>
      <c r="BD50" s="73" t="s">
        <v>1802</v>
      </c>
      <c r="BE50" s="57" t="s">
        <v>1505</v>
      </c>
      <c r="BF50" s="57">
        <v>5</v>
      </c>
      <c r="BG50" s="58">
        <v>263.94279999999998</v>
      </c>
      <c r="BH50" s="58">
        <f>IFERROR(Table6[[#This Row],[Redbook WAC price per tablet/capsule (Jul 2020)]]/Table6[[#This Row],[Redbook package strength (mg) (Jul 2020)]], "")</f>
        <v>52.788559999999997</v>
      </c>
      <c r="BI50" s="74" t="s">
        <v>1741</v>
      </c>
      <c r="BJ50" s="57" t="s">
        <v>1802</v>
      </c>
      <c r="BK50" s="57" t="s">
        <v>1505</v>
      </c>
      <c r="BL50" s="57">
        <v>5</v>
      </c>
      <c r="BM50" s="58">
        <v>277.14</v>
      </c>
      <c r="BN50" s="58">
        <f>IFERROR(Table6[[#This Row],[Redbook WAC price per tablet/capsule (Jan 2021)]]/Table6[[#This Row],[Redbook package strength (mg) (Jan 2021)]], "")</f>
        <v>55.427999999999997</v>
      </c>
      <c r="BO50" s="57" t="s">
        <v>1741</v>
      </c>
      <c r="BP50" s="73" t="s">
        <v>1802</v>
      </c>
      <c r="BQ50" s="57" t="s">
        <v>1505</v>
      </c>
      <c r="BR50" s="57">
        <v>5</v>
      </c>
      <c r="BS50" s="58">
        <v>277.14</v>
      </c>
      <c r="BT50" s="58">
        <f>IFERROR(Table6[[#This Row],[Redbook WAC price per tablet/capsule (Jul 2021)]]/Table6[[#This Row],[Redbook package strength (mg) (Jul 2021)]], "")</f>
        <v>55.427999999999997</v>
      </c>
      <c r="BU50" s="57" t="s">
        <v>1741</v>
      </c>
      <c r="BV50" s="186" t="s">
        <v>1802</v>
      </c>
      <c r="BW50" s="158" t="s">
        <v>1505</v>
      </c>
      <c r="BX50" s="57">
        <v>5</v>
      </c>
      <c r="BY50" s="58">
        <v>296.26267000000001</v>
      </c>
      <c r="BZ50" s="58">
        <f>IFERROR(Table6[[#This Row],[Redbook WAC price per tablet/capsule (Jan 2022)]]/Table6[[#This Row],[Redbook package strength (mg) (Jan 2022)]], "")</f>
        <v>59.252534000000004</v>
      </c>
      <c r="CA50" s="74" t="s">
        <v>1741</v>
      </c>
      <c r="CB50" t="s">
        <v>1802</v>
      </c>
      <c r="CC50" s="57" t="s">
        <v>1505</v>
      </c>
      <c r="CD50" s="57">
        <v>5</v>
      </c>
      <c r="CE50" s="58">
        <v>296.26267000000001</v>
      </c>
      <c r="CF50" s="58">
        <f>IFERROR(Table6[[#This Row],[Redbook WAC price per tablet/capsule (Jul 2022)]]/Table6[[#This Row],[Redbook package strength (mg) (Jul 2022)]], "")</f>
        <v>59.252534000000004</v>
      </c>
      <c r="CG50" s="74" t="s">
        <v>1741</v>
      </c>
      <c r="CH50" s="57" t="s">
        <v>1802</v>
      </c>
      <c r="CI50" s="57" t="s">
        <v>1505</v>
      </c>
      <c r="CJ50" s="57">
        <v>5</v>
      </c>
      <c r="CK50" s="58">
        <v>319.66750000000002</v>
      </c>
      <c r="CL50" s="58">
        <f>IFERROR(Table6[[#This Row],[Redbook WAC price per tablet/capsule (Jan 2023)]]/Table6[[#This Row],[Redbook package strength (mg) (Jan 2023)]], "")</f>
        <v>63.933500000000002</v>
      </c>
      <c r="CM50" s="57" t="s">
        <v>1741</v>
      </c>
    </row>
    <row r="51" spans="1:92" x14ac:dyDescent="0.3">
      <c r="A51" s="83" t="s">
        <v>109</v>
      </c>
      <c r="B51" s="57" t="s">
        <v>1783</v>
      </c>
      <c r="C51" s="57" t="s">
        <v>1506</v>
      </c>
      <c r="D51" s="57">
        <v>200</v>
      </c>
      <c r="E51" s="57">
        <v>73.118891666699994</v>
      </c>
      <c r="F51" s="57">
        <f>IFERROR(Table6[[#This Row],[Redbook WAC price per tablet/capsule (Jan 2016)]]/Table6[[#This Row],[Redbook package strength (mg) (Jan 2016)]], "")</f>
        <v>0.36559445833349996</v>
      </c>
      <c r="G51" s="74" t="s">
        <v>1741</v>
      </c>
      <c r="H51" s="57" t="s">
        <v>2681</v>
      </c>
      <c r="I51" s="57" t="s">
        <v>1506</v>
      </c>
      <c r="J51" s="57">
        <v>200</v>
      </c>
      <c r="K51" s="57">
        <v>83.557433333299997</v>
      </c>
      <c r="L51" s="57">
        <f>IFERROR(Table6[[#This Row],[Redbook WAC price per tablet/capsule (Jul 2016)]]/Table6[[#This Row],[Redbook package strength (mg) (Jul 2016)]], "")</f>
        <v>0.41778716666650001</v>
      </c>
      <c r="M51" s="74" t="s">
        <v>1741</v>
      </c>
      <c r="N51" s="342" t="s">
        <v>1783</v>
      </c>
      <c r="O51" s="57" t="s">
        <v>1506</v>
      </c>
      <c r="P51" s="57">
        <v>200</v>
      </c>
      <c r="Q51" s="57">
        <v>83.557433333299997</v>
      </c>
      <c r="R51" s="57">
        <f>IFERROR(Table6[[#This Row],[Redbook WAC price per tablet/capsule (Jan 2017)]]/Table6[[#This Row],[Redbook package strength (mg) (Jan 2017)]], "")</f>
        <v>0.41778716666650001</v>
      </c>
      <c r="S51" s="74" t="s">
        <v>1741</v>
      </c>
      <c r="T51" s="342" t="s">
        <v>1783</v>
      </c>
      <c r="U51" s="57" t="s">
        <v>1506</v>
      </c>
      <c r="V51" s="57">
        <v>200</v>
      </c>
      <c r="W51" s="284">
        <v>100.9145</v>
      </c>
      <c r="X51" s="284">
        <f>IFERROR(Table6[[#This Row],[Redbook WAC price per tablet/capsule (Jul 2017)]]/Table6[[#This Row],[Redbook package strength (mg) (Jul 2017)]], "")</f>
        <v>0.50457249999999998</v>
      </c>
      <c r="Y51" s="57" t="s">
        <v>1741</v>
      </c>
      <c r="Z51" s="388" t="s">
        <v>1783</v>
      </c>
      <c r="AA51" s="389" t="s">
        <v>1506</v>
      </c>
      <c r="AB51" s="158">
        <v>200</v>
      </c>
      <c r="AC51" s="390">
        <v>91.823891666666668</v>
      </c>
      <c r="AD51" s="390">
        <f>Table6[[#This Row],[Redbook WAC price per tablet/capsule (Jan 2018)]]/Table6[[#This Row],[Redbook package strength (mg) (Jan 2018)]]</f>
        <v>0.45911945833333334</v>
      </c>
      <c r="AE51" s="391" t="s">
        <v>1741</v>
      </c>
      <c r="AF51" s="388" t="s">
        <v>1783</v>
      </c>
      <c r="AG51" s="389" t="s">
        <v>1506</v>
      </c>
      <c r="AH51" s="397">
        <v>200</v>
      </c>
      <c r="AI51" s="399">
        <v>100.91451666666667</v>
      </c>
      <c r="AJ51" s="399">
        <f>Table6[[#This Row],[Redbook WAC price per tablet/capsule (Jul 2018)]]/Table6[[#This Row],[Redbook package strength (mg) (Jul 2018)]]</f>
        <v>0.50457258333333332</v>
      </c>
      <c r="AK51" s="391" t="s">
        <v>1741</v>
      </c>
      <c r="AL51" s="57" t="s">
        <v>1783</v>
      </c>
      <c r="AM51" s="57" t="s">
        <v>1506</v>
      </c>
      <c r="AN51" s="57">
        <v>200</v>
      </c>
      <c r="AO51" s="58">
        <v>100.9145</v>
      </c>
      <c r="AP51" s="58">
        <f>IFERROR(Table6[[#This Row],[Redbook WAC price per tablet/capsule (Jan 2019)]]/Table6[[#This Row],[Redbook package strength (mg) (Jan 2019)]], "")</f>
        <v>0.50457249999999998</v>
      </c>
      <c r="AQ51" s="74" t="s">
        <v>1741</v>
      </c>
      <c r="AR51" s="73" t="s">
        <v>1783</v>
      </c>
      <c r="AS51" s="57" t="s">
        <v>1506</v>
      </c>
      <c r="AT51" s="57">
        <v>200</v>
      </c>
      <c r="AU51" s="58">
        <v>108.9877</v>
      </c>
      <c r="AV51" s="58">
        <f>IFERROR(Table6[[#This Row],[Redbook WAC price per tablet/capsule (Jul 2019)]]/Table6[[#This Row],[Redbook package strength (mg) (Jul 2019)]], "")</f>
        <v>0.54493849999999999</v>
      </c>
      <c r="AW51" s="74" t="s">
        <v>1741</v>
      </c>
      <c r="AX51" s="73" t="s">
        <v>1783</v>
      </c>
      <c r="AY51" s="57" t="s">
        <v>1506</v>
      </c>
      <c r="AZ51" s="57">
        <v>200</v>
      </c>
      <c r="BA51" s="59">
        <v>108.9877</v>
      </c>
      <c r="BB51" s="59">
        <f>IFERROR(Table6[[#This Row],[Redbook WAC price per tablet/capsule (Jan 2020)]]/Table6[[#This Row],[Redbook package strength (mg) (Jan 2020)]], "")</f>
        <v>0.54493849999999999</v>
      </c>
      <c r="BC51" t="s">
        <v>1741</v>
      </c>
      <c r="BD51" s="73" t="s">
        <v>1783</v>
      </c>
      <c r="BE51" s="57" t="s">
        <v>1506</v>
      </c>
      <c r="BF51" s="57">
        <v>200</v>
      </c>
      <c r="BG51" s="58">
        <v>114.982</v>
      </c>
      <c r="BH51" s="58">
        <f>IFERROR(Table6[[#This Row],[Redbook WAC price per tablet/capsule (Jul 2020)]]/Table6[[#This Row],[Redbook package strength (mg) (Jul 2020)]], "")</f>
        <v>0.57491000000000003</v>
      </c>
      <c r="BI51" s="74" t="s">
        <v>1741</v>
      </c>
      <c r="BJ51" s="57" t="s">
        <v>1783</v>
      </c>
      <c r="BK51" s="57" t="s">
        <v>1506</v>
      </c>
      <c r="BL51" s="57">
        <v>200</v>
      </c>
      <c r="BM51" s="58">
        <v>114.982</v>
      </c>
      <c r="BN51" s="58">
        <f>IFERROR(Table6[[#This Row],[Redbook WAC price per tablet/capsule (Jan 2021)]]/Table6[[#This Row],[Redbook package strength (mg) (Jan 2021)]], "")</f>
        <v>0.57491000000000003</v>
      </c>
      <c r="BO51" s="57" t="s">
        <v>1741</v>
      </c>
      <c r="BP51" s="73" t="s">
        <v>1783</v>
      </c>
      <c r="BQ51" s="57" t="s">
        <v>1506</v>
      </c>
      <c r="BR51" s="57">
        <v>200</v>
      </c>
      <c r="BS51" s="58">
        <v>121.305975</v>
      </c>
      <c r="BT51" s="58">
        <f>IFERROR(Table6[[#This Row],[Redbook WAC price per tablet/capsule (Jul 2021)]]/Table6[[#This Row],[Redbook package strength (mg) (Jul 2021)]], "")</f>
        <v>0.606529875</v>
      </c>
      <c r="BU51" s="57" t="s">
        <v>1741</v>
      </c>
      <c r="BV51" s="186" t="s">
        <v>1783</v>
      </c>
      <c r="BW51" s="158" t="s">
        <v>1506</v>
      </c>
      <c r="BX51" s="57">
        <v>200</v>
      </c>
      <c r="BY51" s="58">
        <v>121.305975</v>
      </c>
      <c r="BZ51" s="58">
        <f>IFERROR(Table6[[#This Row],[Redbook WAC price per tablet/capsule (Jan 2022)]]/Table6[[#This Row],[Redbook package strength (mg) (Jan 2022)]], "")</f>
        <v>0.606529875</v>
      </c>
      <c r="CA51" s="74" t="s">
        <v>1741</v>
      </c>
      <c r="CB51" s="57" t="s">
        <v>2145</v>
      </c>
      <c r="CC51" s="158" t="s">
        <v>1506</v>
      </c>
      <c r="CD51" s="57">
        <v>200</v>
      </c>
      <c r="CE51" s="58">
        <v>127.97783</v>
      </c>
      <c r="CF51" s="247">
        <f>IFERROR(Table6[[#This Row],[Redbook WAC price per tablet/capsule (Jul 2022)]]/Table6[[#This Row],[Redbook package strength (mg) (Jul 2022)]], "")</f>
        <v>0.63988915000000002</v>
      </c>
      <c r="CG51" s="74" t="s">
        <v>1741</v>
      </c>
      <c r="CH51" s="57" t="s">
        <v>2145</v>
      </c>
      <c r="CI51" s="57" t="s">
        <v>1506</v>
      </c>
      <c r="CJ51" s="57">
        <v>200</v>
      </c>
      <c r="CK51" s="58">
        <v>127.97785</v>
      </c>
      <c r="CL51" s="58">
        <f>IFERROR(Table6[[#This Row],[Redbook WAC price per tablet/capsule (Jan 2023)]]/Table6[[#This Row],[Redbook package strength (mg) (Jan 2023)]], "")</f>
        <v>0.63988924999999997</v>
      </c>
      <c r="CM51" s="57" t="s">
        <v>1741</v>
      </c>
      <c r="CN51" t="s">
        <v>2665</v>
      </c>
    </row>
    <row r="52" spans="1:92" x14ac:dyDescent="0.3">
      <c r="A52" s="85" t="s">
        <v>110</v>
      </c>
      <c r="B52" s="57" t="s">
        <v>2059</v>
      </c>
      <c r="C52" s="57" t="s">
        <v>1870</v>
      </c>
      <c r="D52" s="57">
        <v>60</v>
      </c>
      <c r="E52" s="57">
        <v>458.33333333299998</v>
      </c>
      <c r="F52" s="57">
        <f>IFERROR(Table6[[#This Row],[Redbook WAC price per tablet/capsule (Jan 2016)]]/Table6[[#This Row],[Redbook package strength (mg) (Jan 2016)]], "")</f>
        <v>7.6388888888833328</v>
      </c>
      <c r="G52" s="74" t="s">
        <v>1741</v>
      </c>
      <c r="H52" s="57" t="s">
        <v>2059</v>
      </c>
      <c r="I52" s="57" t="s">
        <v>1870</v>
      </c>
      <c r="J52" s="57">
        <v>60</v>
      </c>
      <c r="K52" s="57">
        <v>458.33333333299998</v>
      </c>
      <c r="L52" s="57">
        <f>IFERROR(Table6[[#This Row],[Redbook WAC price per tablet/capsule (Jul 2016)]]/Table6[[#This Row],[Redbook package strength (mg) (Jul 2016)]], "")</f>
        <v>7.6388888888833328</v>
      </c>
      <c r="M52" s="74" t="s">
        <v>1741</v>
      </c>
      <c r="N52" s="57" t="s">
        <v>2059</v>
      </c>
      <c r="O52" s="57" t="s">
        <v>1870</v>
      </c>
      <c r="P52" s="57">
        <v>60</v>
      </c>
      <c r="Q52" s="57">
        <v>481.25</v>
      </c>
      <c r="R52" s="57">
        <f>IFERROR(Table6[[#This Row],[Redbook WAC price per tablet/capsule (Jan 2017)]]/Table6[[#This Row],[Redbook package strength (mg) (Jan 2017)]], "")</f>
        <v>8.0208333333333339</v>
      </c>
      <c r="S52" s="74" t="s">
        <v>1741</v>
      </c>
      <c r="T52" s="57" t="s">
        <v>2059</v>
      </c>
      <c r="U52" s="57" t="s">
        <v>1870</v>
      </c>
      <c r="V52" s="57">
        <v>60</v>
      </c>
      <c r="W52" s="284">
        <f>(606.37533/1.2)</f>
        <v>505.31277499999999</v>
      </c>
      <c r="X52" s="284">
        <f>IFERROR(Table6[[#This Row],[Redbook WAC price per tablet/capsule (Jul 2017)]]/Table6[[#This Row],[Redbook package strength (mg) (Jul 2017)]], "")</f>
        <v>8.4218795833333324</v>
      </c>
      <c r="Y52" s="57" t="s">
        <v>1741</v>
      </c>
      <c r="Z52" s="388" t="s">
        <v>2059</v>
      </c>
      <c r="AA52" s="389" t="s">
        <v>1870</v>
      </c>
      <c r="AB52" s="158">
        <v>60</v>
      </c>
      <c r="AC52" s="390">
        <v>530.57833333333338</v>
      </c>
      <c r="AD52" s="390">
        <f>Table6[[#This Row],[Redbook WAC price per tablet/capsule (Jan 2018)]]/Table6[[#This Row],[Redbook package strength (mg) (Jan 2018)]]</f>
        <v>8.8429722222222225</v>
      </c>
      <c r="AE52" s="391" t="s">
        <v>1741</v>
      </c>
      <c r="AF52" s="388" t="s">
        <v>2059</v>
      </c>
      <c r="AG52" s="389" t="s">
        <v>1870</v>
      </c>
      <c r="AH52" s="397">
        <v>60</v>
      </c>
      <c r="AI52" s="399">
        <v>569.92055833333336</v>
      </c>
      <c r="AJ52" s="399">
        <f>Table6[[#This Row],[Redbook WAC price per tablet/capsule (Jul 2018)]]/Table6[[#This Row],[Redbook package strength (mg) (Jul 2018)]]</f>
        <v>9.4986759722222232</v>
      </c>
      <c r="AK52" s="391" t="s">
        <v>1741</v>
      </c>
      <c r="AL52" s="57" t="s">
        <v>1869</v>
      </c>
      <c r="AM52" s="57" t="s">
        <v>1870</v>
      </c>
      <c r="AN52" s="57">
        <v>60</v>
      </c>
      <c r="AO52" s="58">
        <v>583.02886000000001</v>
      </c>
      <c r="AP52" s="58">
        <f>IFERROR(Table6[[#This Row],[Redbook WAC price per tablet/capsule (Jan 2019)]]/Table6[[#This Row],[Redbook package strength (mg) (Jan 2019)]], "")</f>
        <v>9.7171476666666674</v>
      </c>
      <c r="AQ52" s="74" t="s">
        <v>1741</v>
      </c>
      <c r="AR52" s="73" t="s">
        <v>2059</v>
      </c>
      <c r="AS52" s="57" t="s">
        <v>1870</v>
      </c>
      <c r="AT52" s="57">
        <v>60</v>
      </c>
      <c r="AU52" s="58">
        <v>639.72829999999999</v>
      </c>
      <c r="AV52" s="58">
        <f>IFERROR(Table6[[#This Row],[Redbook WAC price per tablet/capsule (Jul 2019)]]/Table6[[#This Row],[Redbook package strength (mg) (Jul 2019)]], "")</f>
        <v>10.662138333333333</v>
      </c>
      <c r="AW52" s="74" t="s">
        <v>1741</v>
      </c>
      <c r="AX52" s="73" t="s">
        <v>2059</v>
      </c>
      <c r="AY52" s="57" t="s">
        <v>1870</v>
      </c>
      <c r="AZ52" s="57">
        <v>60</v>
      </c>
      <c r="BA52" s="59">
        <v>671.71472500000004</v>
      </c>
      <c r="BB52" s="59">
        <f>IFERROR(Table6[[#This Row],[Redbook WAC price per tablet/capsule (Jan 2020)]]/Table6[[#This Row],[Redbook package strength (mg) (Jan 2020)]], "")</f>
        <v>11.195245416666667</v>
      </c>
      <c r="BC52" t="s">
        <v>1741</v>
      </c>
      <c r="BD52" s="73" t="s">
        <v>2059</v>
      </c>
      <c r="BE52" s="57" t="s">
        <v>1870</v>
      </c>
      <c r="BF52" s="57">
        <v>60</v>
      </c>
      <c r="BG52" s="58">
        <v>671.71472500000004</v>
      </c>
      <c r="BH52" s="58">
        <f>IFERROR(Table6[[#This Row],[Redbook WAC price per tablet/capsule (Jul 2020)]]/Table6[[#This Row],[Redbook package strength (mg) (Jul 2020)]], "")</f>
        <v>11.195245416666667</v>
      </c>
      <c r="BI52" s="74" t="s">
        <v>1741</v>
      </c>
      <c r="BJ52" s="57" t="s">
        <v>2059</v>
      </c>
      <c r="BK52" s="57" t="s">
        <v>1870</v>
      </c>
      <c r="BL52" s="57">
        <v>60</v>
      </c>
      <c r="BM52" s="58">
        <v>722.0933</v>
      </c>
      <c r="BN52" s="58">
        <f>IFERROR(Table6[[#This Row],[Redbook WAC price per tablet/capsule (Jan 2021)]]/Table6[[#This Row],[Redbook package strength (mg) (Jan 2021)]], "")</f>
        <v>12.034888333333333</v>
      </c>
      <c r="BO52" s="57" t="s">
        <v>1741</v>
      </c>
      <c r="BP52" s="73" t="s">
        <v>2059</v>
      </c>
      <c r="BQ52" s="57" t="s">
        <v>1870</v>
      </c>
      <c r="BR52" s="57">
        <v>60</v>
      </c>
      <c r="BS52" s="58">
        <v>722.0933</v>
      </c>
      <c r="BT52" s="58">
        <f>IFERROR(Table6[[#This Row],[Redbook WAC price per tablet/capsule (Jul 2021)]]/Table6[[#This Row],[Redbook package strength (mg) (Jul 2021)]], "")</f>
        <v>12.034888333333333</v>
      </c>
      <c r="BU52" s="57" t="s">
        <v>1741</v>
      </c>
      <c r="BV52" s="186" t="s">
        <v>2059</v>
      </c>
      <c r="BW52" s="158" t="s">
        <v>1870</v>
      </c>
      <c r="BX52" s="57">
        <v>60</v>
      </c>
      <c r="BY52" s="58">
        <v>776.25032999999996</v>
      </c>
      <c r="BZ52" s="58">
        <f>IFERROR(Table6[[#This Row],[Redbook WAC price per tablet/capsule (Jan 2022)]]/Table6[[#This Row],[Redbook package strength (mg) (Jan 2022)]], "")</f>
        <v>12.937505499999999</v>
      </c>
      <c r="CA52" s="74" t="s">
        <v>1741</v>
      </c>
      <c r="CB52" s="57" t="s">
        <v>2059</v>
      </c>
      <c r="CC52" s="158" t="s">
        <v>1870</v>
      </c>
      <c r="CD52" s="57">
        <v>60</v>
      </c>
      <c r="CE52" s="58">
        <v>776.25032999999996</v>
      </c>
      <c r="CF52" s="58">
        <f>IFERROR(Table6[[#This Row],[Redbook WAC price per tablet/capsule (Jul 2022)]]/Table6[[#This Row],[Redbook package strength (mg) (Jul 2022)]], "")</f>
        <v>12.937505499999999</v>
      </c>
      <c r="CG52" s="74" t="s">
        <v>1741</v>
      </c>
      <c r="CH52" s="57" t="s">
        <v>2059</v>
      </c>
      <c r="CI52" s="57" t="s">
        <v>1870</v>
      </c>
      <c r="CJ52" s="57">
        <v>60</v>
      </c>
      <c r="CK52" s="58">
        <v>834.46900000000005</v>
      </c>
      <c r="CL52" s="58">
        <f>IFERROR(Table6[[#This Row],[Redbook WAC price per tablet/capsule (Jan 2023)]]/Table6[[#This Row],[Redbook package strength (mg) (Jan 2023)]], "")</f>
        <v>13.907816666666667</v>
      </c>
      <c r="CM52" s="57" t="s">
        <v>1741</v>
      </c>
      <c r="CN52" s="359" t="s">
        <v>2666</v>
      </c>
    </row>
    <row r="53" spans="1:92" x14ac:dyDescent="0.3">
      <c r="A53" s="90" t="s">
        <v>112</v>
      </c>
      <c r="B53" s="57" t="s">
        <v>1875</v>
      </c>
      <c r="C53" s="57" t="s">
        <v>1876</v>
      </c>
      <c r="D53" s="57">
        <v>10</v>
      </c>
      <c r="E53" s="57">
        <v>376.33928333300003</v>
      </c>
      <c r="F53" s="57">
        <f>IFERROR(Table6[[#This Row],[Redbook WAC price per tablet/capsule (Jan 2016)]]/Table6[[#This Row],[Redbook package strength (mg) (Jan 2016)]], "")</f>
        <v>37.633928333300005</v>
      </c>
      <c r="G53" s="74" t="s">
        <v>1741</v>
      </c>
      <c r="H53" s="57" t="s">
        <v>1875</v>
      </c>
      <c r="I53" s="57" t="s">
        <v>1876</v>
      </c>
      <c r="J53" s="57">
        <v>10</v>
      </c>
      <c r="K53" s="57">
        <v>430.06607500000001</v>
      </c>
      <c r="L53" s="57">
        <f>IFERROR(Table6[[#This Row],[Redbook WAC price per tablet/capsule (Jul 2016)]]/Table6[[#This Row],[Redbook package strength (mg) (Jul 2016)]], "")</f>
        <v>43.006607500000001</v>
      </c>
      <c r="M53" s="74" t="s">
        <v>1741</v>
      </c>
      <c r="N53" s="57" t="s">
        <v>1875</v>
      </c>
      <c r="O53" s="57" t="s">
        <v>1876</v>
      </c>
      <c r="P53" s="57">
        <v>10</v>
      </c>
      <c r="Q53" s="57">
        <v>430.06607500000001</v>
      </c>
      <c r="R53" s="57">
        <f>IFERROR(Table6[[#This Row],[Redbook WAC price per tablet/capsule (Jan 2017)]]/Table6[[#This Row],[Redbook package strength (mg) (Jan 2017)]], "")</f>
        <v>43.006607500000001</v>
      </c>
      <c r="S53" s="74" t="s">
        <v>1741</v>
      </c>
      <c r="T53" s="57" t="s">
        <v>1875</v>
      </c>
      <c r="U53" s="57" t="s">
        <v>1876</v>
      </c>
      <c r="V53" s="57">
        <v>10</v>
      </c>
      <c r="W53" s="284">
        <f>(567.13571/1.2)</f>
        <v>472.61309166666672</v>
      </c>
      <c r="X53" s="284">
        <f>IFERROR(Table6[[#This Row],[Redbook WAC price per tablet/capsule (Jul 2017)]]/Table6[[#This Row],[Redbook package strength (mg) (Jul 2017)]], "")</f>
        <v>47.26130916666667</v>
      </c>
      <c r="Y53" s="57" t="s">
        <v>1741</v>
      </c>
      <c r="Z53" s="388" t="s">
        <v>1875</v>
      </c>
      <c r="AA53" s="389" t="s">
        <v>1876</v>
      </c>
      <c r="AB53" s="158">
        <v>10</v>
      </c>
      <c r="AC53" s="390">
        <v>472.61309166666672</v>
      </c>
      <c r="AD53" s="390">
        <f>Table6[[#This Row],[Redbook WAC price per tablet/capsule (Jan 2018)]]/Table6[[#This Row],[Redbook package strength (mg) (Jan 2018)]]</f>
        <v>47.26130916666667</v>
      </c>
      <c r="AE53" s="391" t="s">
        <v>1741</v>
      </c>
      <c r="AF53" s="388" t="s">
        <v>1875</v>
      </c>
      <c r="AG53" s="389" t="s">
        <v>1876</v>
      </c>
      <c r="AH53" s="397">
        <v>10</v>
      </c>
      <c r="AI53" s="399">
        <v>519.40178333333336</v>
      </c>
      <c r="AJ53" s="399">
        <f>Table6[[#This Row],[Redbook WAC price per tablet/capsule (Jul 2018)]]/Table6[[#This Row],[Redbook package strength (mg) (Jul 2018)]]</f>
        <v>51.940178333333336</v>
      </c>
      <c r="AK53" s="391" t="s">
        <v>1741</v>
      </c>
      <c r="AL53" s="57" t="s">
        <v>1875</v>
      </c>
      <c r="AM53" s="57" t="s">
        <v>1876</v>
      </c>
      <c r="AN53" s="57">
        <v>10</v>
      </c>
      <c r="AO53" s="58">
        <v>519.40179999999998</v>
      </c>
      <c r="AP53" s="58">
        <f>IFERROR(Table6[[#This Row],[Redbook WAC price per tablet/capsule (Jan 2019)]]/Table6[[#This Row],[Redbook package strength (mg) (Jan 2019)]], "")</f>
        <v>51.940179999999998</v>
      </c>
      <c r="AQ53" s="74" t="s">
        <v>1741</v>
      </c>
      <c r="AR53" s="73" t="s">
        <v>1875</v>
      </c>
      <c r="AS53" s="57" t="s">
        <v>1876</v>
      </c>
      <c r="AT53" s="57">
        <v>10</v>
      </c>
      <c r="AU53" s="58">
        <v>560.95393000000001</v>
      </c>
      <c r="AV53" s="58">
        <f>IFERROR(Table6[[#This Row],[Redbook WAC price per tablet/capsule (Jul 2019)]]/Table6[[#This Row],[Redbook package strength (mg) (Jul 2019)]], "")</f>
        <v>56.095393000000001</v>
      </c>
      <c r="AW53" s="74" t="s">
        <v>1741</v>
      </c>
      <c r="AX53" t="s">
        <v>1877</v>
      </c>
      <c r="AY53" t="s">
        <v>1861</v>
      </c>
      <c r="AZ53">
        <v>5</v>
      </c>
      <c r="BA53" s="59">
        <v>448.76321000000002</v>
      </c>
      <c r="BB53" s="59">
        <f>IFERROR(Table6[[#This Row],[Redbook WAC price per tablet/capsule (Jan 2020)]]/Table6[[#This Row],[Redbook package strength (mg) (Jan 2020)]], "")</f>
        <v>89.752642000000009</v>
      </c>
      <c r="BC53" t="s">
        <v>1741</v>
      </c>
      <c r="BD53" s="73" t="s">
        <v>1878</v>
      </c>
      <c r="BE53" s="57" t="s">
        <v>1861</v>
      </c>
      <c r="BF53" s="57">
        <v>0.5</v>
      </c>
      <c r="BG53" s="58">
        <v>15.85717</v>
      </c>
      <c r="BH53" s="58">
        <f>IFERROR(Table6[[#This Row],[Redbook WAC price per tablet/capsule (Jul 2020)]]/Table6[[#This Row],[Redbook package strength (mg) (Jul 2020)]], "")</f>
        <v>31.71434</v>
      </c>
      <c r="BI53" s="74" t="s">
        <v>1741</v>
      </c>
      <c r="BJ53" s="57" t="s">
        <v>1878</v>
      </c>
      <c r="BK53" s="57" t="s">
        <v>1861</v>
      </c>
      <c r="BL53" s="57">
        <v>0.5</v>
      </c>
      <c r="BM53" s="58">
        <v>15.85717</v>
      </c>
      <c r="BN53" s="58">
        <f>IFERROR(Table6[[#This Row],[Redbook WAC price per tablet/capsule (Jan 2021)]]/Table6[[#This Row],[Redbook package strength (mg) (Jan 2021)]], "")</f>
        <v>31.71434</v>
      </c>
      <c r="BO53" s="57" t="s">
        <v>1741</v>
      </c>
      <c r="BP53" s="73" t="s">
        <v>1878</v>
      </c>
      <c r="BQ53" s="57" t="s">
        <v>1861</v>
      </c>
      <c r="BR53" s="57">
        <v>0.5</v>
      </c>
      <c r="BS53" s="58">
        <v>15.85717</v>
      </c>
      <c r="BT53" s="58">
        <f>IFERROR(Table6[[#This Row],[Redbook WAC price per tablet/capsule (Jul 2021)]]/Table6[[#This Row],[Redbook package strength (mg) (Jul 2021)]], "")</f>
        <v>31.71434</v>
      </c>
      <c r="BU53" s="57" t="s">
        <v>1741</v>
      </c>
      <c r="BV53" s="186" t="s">
        <v>1878</v>
      </c>
      <c r="BW53" s="158" t="s">
        <v>1861</v>
      </c>
      <c r="BX53" s="57">
        <v>0.5</v>
      </c>
      <c r="BY53" s="58">
        <v>15.85717</v>
      </c>
      <c r="BZ53" s="58">
        <f>IFERROR(Table6[[#This Row],[Redbook WAC price per tablet/capsule (Jan 2022)]]/Table6[[#This Row],[Redbook package strength (mg) (Jan 2022)]], "")</f>
        <v>31.71434</v>
      </c>
      <c r="CA53" s="74" t="s">
        <v>1741</v>
      </c>
      <c r="CB53" s="57" t="s">
        <v>1878</v>
      </c>
      <c r="CC53" s="158" t="s">
        <v>1861</v>
      </c>
      <c r="CD53" s="57">
        <v>0.5</v>
      </c>
      <c r="CE53" s="58">
        <v>15.85717</v>
      </c>
      <c r="CF53" s="58">
        <f>IFERROR(Table6[[#This Row],[Redbook WAC price per tablet/capsule (Jul 2022)]]/Table6[[#This Row],[Redbook package strength (mg) (Jul 2022)]], "")</f>
        <v>31.71434</v>
      </c>
      <c r="CG53" s="74" t="s">
        <v>1741</v>
      </c>
      <c r="CH53" s="57" t="s">
        <v>1878</v>
      </c>
      <c r="CI53" s="57" t="s">
        <v>1861</v>
      </c>
      <c r="CJ53" s="57">
        <v>0.5</v>
      </c>
      <c r="CK53" s="58">
        <v>15.85717</v>
      </c>
      <c r="CL53" s="58">
        <f>IFERROR(Table6[[#This Row],[Redbook WAC price per tablet/capsule (Jan 2023)]]/Table6[[#This Row],[Redbook package strength (mg) (Jan 2023)]], "")</f>
        <v>31.71434</v>
      </c>
      <c r="CM53" s="57" t="s">
        <v>1741</v>
      </c>
    </row>
    <row r="54" spans="1:92" x14ac:dyDescent="0.3">
      <c r="A54" s="84" t="s">
        <v>113</v>
      </c>
      <c r="B54" s="57" t="s">
        <v>1784</v>
      </c>
      <c r="C54" s="57" t="s">
        <v>1507</v>
      </c>
      <c r="D54" s="57">
        <v>200</v>
      </c>
      <c r="E54" s="57">
        <v>119.99</v>
      </c>
      <c r="F54" s="57">
        <f>IFERROR(Table6[[#This Row],[Redbook WAC price per tablet/capsule (Jan 2016)]]/Table6[[#This Row],[Redbook package strength (mg) (Jan 2016)]], "")</f>
        <v>0.59994999999999998</v>
      </c>
      <c r="G54" s="74" t="s">
        <v>1741</v>
      </c>
      <c r="H54" s="57" t="s">
        <v>1784</v>
      </c>
      <c r="I54" s="57" t="s">
        <v>1507</v>
      </c>
      <c r="J54" s="57">
        <v>200</v>
      </c>
      <c r="K54" s="57">
        <v>125.989516667</v>
      </c>
      <c r="L54" s="57">
        <f>IFERROR(Table6[[#This Row],[Redbook WAC price per tablet/capsule (Jul 2016)]]/Table6[[#This Row],[Redbook package strength (mg) (Jul 2016)]], "")</f>
        <v>0.62994758333500001</v>
      </c>
      <c r="M54" s="74" t="s">
        <v>1741</v>
      </c>
      <c r="N54" s="57" t="s">
        <v>1784</v>
      </c>
      <c r="O54" s="57" t="s">
        <v>1507</v>
      </c>
      <c r="P54" s="57">
        <v>200</v>
      </c>
      <c r="Q54" s="57">
        <v>137.32860833300001</v>
      </c>
      <c r="R54" s="57">
        <f>IFERROR(Table6[[#This Row],[Redbook WAC price per tablet/capsule (Jan 2017)]]/Table6[[#This Row],[Redbook package strength (mg) (Jan 2017)]], "")</f>
        <v>0.68664304166500001</v>
      </c>
      <c r="S54" s="74" t="s">
        <v>1741</v>
      </c>
      <c r="T54" s="57" t="s">
        <v>1784</v>
      </c>
      <c r="U54" s="57" t="s">
        <v>2444</v>
      </c>
      <c r="V54" s="57">
        <v>200</v>
      </c>
      <c r="W54" s="284">
        <f>(164.79433/1.2)</f>
        <v>137.32860833333334</v>
      </c>
      <c r="X54" s="284">
        <f>IFERROR(Table6[[#This Row],[Redbook WAC price per tablet/capsule (Jul 2017)]]/Table6[[#This Row],[Redbook package strength (mg) (Jul 2017)]], "")</f>
        <v>0.68664304166666668</v>
      </c>
      <c r="Y54" s="57" t="s">
        <v>1741</v>
      </c>
      <c r="Z54" s="388" t="s">
        <v>1784</v>
      </c>
      <c r="AA54" s="389" t="s">
        <v>1507</v>
      </c>
      <c r="AB54" s="158">
        <v>200</v>
      </c>
      <c r="AC54" s="390">
        <v>144.19499999999999</v>
      </c>
      <c r="AD54" s="390">
        <f>Table6[[#This Row],[Redbook WAC price per tablet/capsule (Jan 2018)]]/Table6[[#This Row],[Redbook package strength (mg) (Jan 2018)]]</f>
        <v>0.72097499999999992</v>
      </c>
      <c r="AE54" s="391" t="s">
        <v>1741</v>
      </c>
      <c r="AF54" s="388" t="s">
        <v>1784</v>
      </c>
      <c r="AG54" s="389" t="s">
        <v>1507</v>
      </c>
      <c r="AH54" s="397">
        <v>200</v>
      </c>
      <c r="AI54" s="399">
        <v>155.58639166666666</v>
      </c>
      <c r="AJ54" s="399">
        <f>Table6[[#This Row],[Redbook WAC price per tablet/capsule (Jul 2018)]]/Table6[[#This Row],[Redbook package strength (mg) (Jul 2018)]]</f>
        <v>0.77793195833333328</v>
      </c>
      <c r="AK54" s="391" t="s">
        <v>1741</v>
      </c>
      <c r="AL54" s="57" t="s">
        <v>1784</v>
      </c>
      <c r="AM54" s="57" t="s">
        <v>1507</v>
      </c>
      <c r="AN54" s="57">
        <v>200</v>
      </c>
      <c r="AO54" s="58">
        <v>155.5864</v>
      </c>
      <c r="AP54" s="58">
        <f>IFERROR(Table6[[#This Row],[Redbook WAC price per tablet/capsule (Jan 2019)]]/Table6[[#This Row],[Redbook package strength (mg) (Jan 2019)]], "")</f>
        <v>0.77793199999999996</v>
      </c>
      <c r="AQ54" s="74" t="s">
        <v>1741</v>
      </c>
      <c r="AR54" s="73" t="s">
        <v>1784</v>
      </c>
      <c r="AS54" s="57" t="s">
        <v>1507</v>
      </c>
      <c r="AT54" s="57">
        <v>200</v>
      </c>
      <c r="AU54" s="58">
        <v>160.26</v>
      </c>
      <c r="AV54" s="58">
        <f>IFERROR(Table6[[#This Row],[Redbook WAC price per tablet/capsule (Jul 2019)]]/Table6[[#This Row],[Redbook package strength (mg) (Jul 2019)]], "")</f>
        <v>0.8012999999999999</v>
      </c>
      <c r="AW54" s="74" t="s">
        <v>1741</v>
      </c>
      <c r="AX54" s="73" t="s">
        <v>1784</v>
      </c>
      <c r="AY54" s="57" t="s">
        <v>1507</v>
      </c>
      <c r="AZ54" s="57">
        <v>200</v>
      </c>
      <c r="BA54" s="59">
        <v>160.26</v>
      </c>
      <c r="BB54" s="59">
        <f>IFERROR(Table6[[#This Row],[Redbook WAC price per tablet/capsule (Jan 2020)]]/Table6[[#This Row],[Redbook package strength (mg) (Jan 2020)]], "")</f>
        <v>0.8012999999999999</v>
      </c>
      <c r="BC54" t="s">
        <v>1741</v>
      </c>
      <c r="BD54" s="73" t="s">
        <v>1784</v>
      </c>
      <c r="BE54" s="57" t="s">
        <v>1507</v>
      </c>
      <c r="BF54" s="57">
        <v>200</v>
      </c>
      <c r="BG54" s="58">
        <v>166.51</v>
      </c>
      <c r="BH54" s="58">
        <f>IFERROR(Table6[[#This Row],[Redbook WAC price per tablet/capsule (Jul 2020)]]/Table6[[#This Row],[Redbook package strength (mg) (Jul 2020)]], "")</f>
        <v>0.8325499999999999</v>
      </c>
      <c r="BI54" s="74" t="s">
        <v>1741</v>
      </c>
      <c r="BJ54" s="57" t="s">
        <v>1784</v>
      </c>
      <c r="BK54" s="57" t="s">
        <v>1507</v>
      </c>
      <c r="BL54" s="57">
        <v>200</v>
      </c>
      <c r="BM54" s="58">
        <v>173</v>
      </c>
      <c r="BN54" s="58">
        <f>IFERROR(Table6[[#This Row],[Redbook WAC price per tablet/capsule (Jan 2021)]]/Table6[[#This Row],[Redbook package strength (mg) (Jan 2021)]], "")</f>
        <v>0.86499999999999999</v>
      </c>
      <c r="BO54" s="57" t="s">
        <v>1741</v>
      </c>
      <c r="BP54" s="73" t="s">
        <v>1784</v>
      </c>
      <c r="BQ54" s="57" t="s">
        <v>1507</v>
      </c>
      <c r="BR54" s="57">
        <v>200</v>
      </c>
      <c r="BS54" s="58">
        <v>173</v>
      </c>
      <c r="BT54" s="58">
        <f>IFERROR(Table6[[#This Row],[Redbook WAC price per tablet/capsule (Jul 2021)]]/Table6[[#This Row],[Redbook package strength (mg) (Jul 2021)]], "")</f>
        <v>0.86499999999999999</v>
      </c>
      <c r="BU54" s="57" t="s">
        <v>1741</v>
      </c>
      <c r="BV54" s="186" t="s">
        <v>1784</v>
      </c>
      <c r="BW54" s="158" t="s">
        <v>1507</v>
      </c>
      <c r="BX54" s="57">
        <v>200</v>
      </c>
      <c r="BY54" s="58">
        <v>184.94</v>
      </c>
      <c r="BZ54" s="58">
        <f>IFERROR(Table6[[#This Row],[Redbook WAC price per tablet/capsule (Jan 2022)]]/Table6[[#This Row],[Redbook package strength (mg) (Jan 2022)]], "")</f>
        <v>0.92469999999999997</v>
      </c>
      <c r="CA54" s="74" t="s">
        <v>1741</v>
      </c>
      <c r="CB54" s="57" t="s">
        <v>1784</v>
      </c>
      <c r="CC54" s="158" t="s">
        <v>1507</v>
      </c>
      <c r="CD54" s="57">
        <v>200</v>
      </c>
      <c r="CE54" s="58">
        <v>190.12</v>
      </c>
      <c r="CF54" s="247">
        <f>IFERROR(Table6[[#This Row],[Redbook WAC price per tablet/capsule (Jul 2022)]]/Table6[[#This Row],[Redbook package strength (mg) (Jul 2022)]], "")</f>
        <v>0.9506</v>
      </c>
      <c r="CG54" s="74" t="s">
        <v>1741</v>
      </c>
      <c r="CH54" s="57" t="s">
        <v>2376</v>
      </c>
      <c r="CI54" s="57" t="s">
        <v>2377</v>
      </c>
      <c r="CJ54" s="57">
        <v>200</v>
      </c>
      <c r="CK54" s="58">
        <v>168.66524999999999</v>
      </c>
      <c r="CL54" s="58">
        <f>IFERROR(Table6[[#This Row],[Redbook WAC price per tablet/capsule (Jan 2023)]]/Table6[[#This Row],[Redbook package strength (mg) (Jan 2023)]], "")</f>
        <v>0.84332624999999994</v>
      </c>
      <c r="CM54" s="57" t="s">
        <v>1741</v>
      </c>
      <c r="CN54" t="s">
        <v>2378</v>
      </c>
    </row>
    <row r="55" spans="1:92" x14ac:dyDescent="0.3">
      <c r="A55" s="83" t="s">
        <v>116</v>
      </c>
      <c r="B55" s="57" t="s">
        <v>1879</v>
      </c>
      <c r="C55" s="57" t="s">
        <v>496</v>
      </c>
      <c r="D55" s="57">
        <v>10</v>
      </c>
      <c r="E55" s="57">
        <v>0.2651</v>
      </c>
      <c r="F55" s="57">
        <f>IFERROR(Table6[[#This Row],[Redbook WAC price per tablet/capsule (Jan 2016)]]/Table6[[#This Row],[Redbook package strength (mg) (Jan 2016)]], "")</f>
        <v>2.6509999999999999E-2</v>
      </c>
      <c r="G55" s="74" t="s">
        <v>1741</v>
      </c>
      <c r="H55" s="57" t="s">
        <v>1879</v>
      </c>
      <c r="I55" s="57" t="s">
        <v>496</v>
      </c>
      <c r="J55" s="57">
        <v>10</v>
      </c>
      <c r="K55" s="57">
        <v>0.2651</v>
      </c>
      <c r="L55" s="57">
        <f>IFERROR(Table6[[#This Row],[Redbook WAC price per tablet/capsule (Jul 2016)]]/Table6[[#This Row],[Redbook package strength (mg) (Jul 2016)]], "")</f>
        <v>2.6509999999999999E-2</v>
      </c>
      <c r="M55" s="74" t="s">
        <v>1741</v>
      </c>
      <c r="N55" s="57" t="s">
        <v>1879</v>
      </c>
      <c r="O55" s="57" t="s">
        <v>496</v>
      </c>
      <c r="P55" s="57">
        <v>10</v>
      </c>
      <c r="Q55" s="57">
        <v>0.2651</v>
      </c>
      <c r="R55" s="57">
        <f>IFERROR(Table6[[#This Row],[Redbook WAC price per tablet/capsule (Jan 2017)]]/Table6[[#This Row],[Redbook package strength (mg) (Jan 2017)]], "")</f>
        <v>2.6509999999999999E-2</v>
      </c>
      <c r="S55" s="74" t="s">
        <v>1741</v>
      </c>
      <c r="T55" s="57" t="s">
        <v>1879</v>
      </c>
      <c r="U55" s="57" t="s">
        <v>496</v>
      </c>
      <c r="V55" s="57">
        <v>10</v>
      </c>
      <c r="W55" s="284">
        <v>0.2651</v>
      </c>
      <c r="X55" s="284">
        <f>IFERROR(Table6[[#This Row],[Redbook WAC price per tablet/capsule (Jul 2017)]]/Table6[[#This Row],[Redbook package strength (mg) (Jul 2017)]], "")</f>
        <v>2.6509999999999999E-2</v>
      </c>
      <c r="Y55" s="57" t="s">
        <v>1741</v>
      </c>
      <c r="Z55" s="388" t="s">
        <v>1879</v>
      </c>
      <c r="AA55" s="389" t="s">
        <v>496</v>
      </c>
      <c r="AB55" s="158">
        <v>10</v>
      </c>
      <c r="AC55" s="390">
        <v>0.2651</v>
      </c>
      <c r="AD55" s="390">
        <f>Table6[[#This Row],[Redbook WAC price per tablet/capsule (Jan 2018)]]/Table6[[#This Row],[Redbook package strength (mg) (Jan 2018)]]</f>
        <v>2.6509999999999999E-2</v>
      </c>
      <c r="AE55" s="391" t="s">
        <v>1741</v>
      </c>
      <c r="AF55" s="388" t="s">
        <v>1879</v>
      </c>
      <c r="AG55" s="389" t="s">
        <v>496</v>
      </c>
      <c r="AH55" s="397">
        <v>10</v>
      </c>
      <c r="AI55" s="399">
        <v>0.2651</v>
      </c>
      <c r="AJ55" s="399">
        <f>Table6[[#This Row],[Redbook WAC price per tablet/capsule (Jul 2018)]]/Table6[[#This Row],[Redbook package strength (mg) (Jul 2018)]]</f>
        <v>2.6509999999999999E-2</v>
      </c>
      <c r="AK55" s="391" t="s">
        <v>1741</v>
      </c>
      <c r="AL55" s="57" t="s">
        <v>1879</v>
      </c>
      <c r="AM55" s="57" t="s">
        <v>496</v>
      </c>
      <c r="AN55" s="57">
        <v>10</v>
      </c>
      <c r="AO55" s="58">
        <v>0.2651</v>
      </c>
      <c r="AP55" s="58">
        <f>IFERROR(Table6[[#This Row],[Redbook WAC price per tablet/capsule (Jan 2019)]]/Table6[[#This Row],[Redbook package strength (mg) (Jan 2019)]], "")</f>
        <v>2.6509999999999999E-2</v>
      </c>
      <c r="AQ55" s="74" t="s">
        <v>1741</v>
      </c>
      <c r="AR55" s="73" t="s">
        <v>1879</v>
      </c>
      <c r="AS55" s="57" t="s">
        <v>496</v>
      </c>
      <c r="AT55" s="57">
        <v>10</v>
      </c>
      <c r="AU55" s="58">
        <v>0.2651</v>
      </c>
      <c r="AV55" s="58">
        <f>IFERROR(Table6[[#This Row],[Redbook WAC price per tablet/capsule (Jul 2019)]]/Table6[[#This Row],[Redbook package strength (mg) (Jul 2019)]], "")</f>
        <v>2.6509999999999999E-2</v>
      </c>
      <c r="AW55" s="74" t="s">
        <v>1741</v>
      </c>
      <c r="AX55" s="73" t="s">
        <v>1879</v>
      </c>
      <c r="AY55" s="57" t="s">
        <v>496</v>
      </c>
      <c r="AZ55" s="57">
        <v>10</v>
      </c>
      <c r="BA55" s="59">
        <v>0.2651</v>
      </c>
      <c r="BB55" s="59">
        <f>IFERROR(Table6[[#This Row],[Redbook WAC price per tablet/capsule (Jan 2020)]]/Table6[[#This Row],[Redbook package strength (mg) (Jan 2020)]], "")</f>
        <v>2.6509999999999999E-2</v>
      </c>
      <c r="BC55" t="s">
        <v>1741</v>
      </c>
      <c r="BD55" s="73" t="s">
        <v>1879</v>
      </c>
      <c r="BE55" s="57" t="s">
        <v>496</v>
      </c>
      <c r="BF55" s="57">
        <v>10</v>
      </c>
      <c r="BG55" s="58">
        <v>0.2651</v>
      </c>
      <c r="BH55" s="58">
        <f>IFERROR(Table6[[#This Row],[Redbook WAC price per tablet/capsule (Jul 2020)]]/Table6[[#This Row],[Redbook package strength (mg) (Jul 2020)]], "")</f>
        <v>2.6509999999999999E-2</v>
      </c>
      <c r="BI55" s="74" t="s">
        <v>1741</v>
      </c>
      <c r="BJ55" s="57" t="s">
        <v>1879</v>
      </c>
      <c r="BK55" s="57" t="s">
        <v>496</v>
      </c>
      <c r="BL55" s="57">
        <v>10</v>
      </c>
      <c r="BM55" s="58">
        <v>0.2651</v>
      </c>
      <c r="BN55" s="58">
        <f>IFERROR(Table6[[#This Row],[Redbook WAC price per tablet/capsule (Jan 2021)]]/Table6[[#This Row],[Redbook package strength (mg) (Jan 2021)]], "")</f>
        <v>2.6509999999999999E-2</v>
      </c>
      <c r="BO55" s="57" t="s">
        <v>1741</v>
      </c>
      <c r="BP55" s="73" t="s">
        <v>1879</v>
      </c>
      <c r="BQ55" s="57" t="s">
        <v>496</v>
      </c>
      <c r="BR55" s="57">
        <v>10</v>
      </c>
      <c r="BS55" s="58">
        <v>0.2651</v>
      </c>
      <c r="BT55" s="58">
        <f>IFERROR(Table6[[#This Row],[Redbook WAC price per tablet/capsule (Jul 2021)]]/Table6[[#This Row],[Redbook package strength (mg) (Jul 2021)]], "")</f>
        <v>2.6509999999999999E-2</v>
      </c>
      <c r="BU55" s="57" t="s">
        <v>1741</v>
      </c>
      <c r="BV55" s="186" t="s">
        <v>1879</v>
      </c>
      <c r="BW55" s="158" t="s">
        <v>496</v>
      </c>
      <c r="BX55" s="57">
        <v>10</v>
      </c>
      <c r="BY55" s="58">
        <v>0.27</v>
      </c>
      <c r="BZ55" s="58">
        <f>IFERROR(Table6[[#This Row],[Redbook WAC price per tablet/capsule (Jan 2022)]]/Table6[[#This Row],[Redbook package strength (mg) (Jan 2022)]], "")</f>
        <v>2.7000000000000003E-2</v>
      </c>
      <c r="CA55" s="74" t="s">
        <v>1741</v>
      </c>
      <c r="CB55" s="57" t="s">
        <v>1879</v>
      </c>
      <c r="CC55" s="158" t="s">
        <v>496</v>
      </c>
      <c r="CD55" s="57">
        <v>10</v>
      </c>
      <c r="CE55" s="58">
        <v>0.2651</v>
      </c>
      <c r="CF55" s="58">
        <f>IFERROR(Table6[[#This Row],[Redbook WAC price per tablet/capsule (Jul 2022)]]/Table6[[#This Row],[Redbook package strength (mg) (Jul 2022)]], "")</f>
        <v>2.6509999999999999E-2</v>
      </c>
      <c r="CG55" s="74" t="s">
        <v>1741</v>
      </c>
      <c r="CH55" s="57" t="s">
        <v>1879</v>
      </c>
      <c r="CI55" s="57" t="s">
        <v>496</v>
      </c>
      <c r="CJ55" s="57">
        <v>10</v>
      </c>
      <c r="CK55" s="58">
        <v>0.2651</v>
      </c>
      <c r="CL55" s="58">
        <f>IFERROR(Table6[[#This Row],[Redbook WAC price per tablet/capsule (Jan 2023)]]/Table6[[#This Row],[Redbook package strength (mg) (Jan 2023)]], "")</f>
        <v>2.6509999999999999E-2</v>
      </c>
      <c r="CM55" s="57" t="s">
        <v>1741</v>
      </c>
    </row>
    <row r="56" spans="1:92" ht="15" customHeight="1" x14ac:dyDescent="0.3">
      <c r="A56" s="137" t="s">
        <v>117</v>
      </c>
      <c r="B56" s="57" t="s">
        <v>1891</v>
      </c>
      <c r="C56" s="57" t="s">
        <v>1892</v>
      </c>
      <c r="D56" s="57">
        <v>100</v>
      </c>
      <c r="E56" s="57">
        <v>1.75</v>
      </c>
      <c r="F56" s="57">
        <f>IFERROR(Table6[[#This Row],[Redbook WAC price per tablet/capsule (Jan 2016)]]/Table6[[#This Row],[Redbook package strength (mg) (Jan 2016)]], "")</f>
        <v>1.7500000000000002E-2</v>
      </c>
      <c r="G56" s="74" t="s">
        <v>1741</v>
      </c>
      <c r="H56" s="57" t="s">
        <v>1891</v>
      </c>
      <c r="I56" s="57" t="s">
        <v>1892</v>
      </c>
      <c r="J56" s="57">
        <v>100</v>
      </c>
      <c r="K56" s="57">
        <v>1.75</v>
      </c>
      <c r="L56" s="57">
        <f>IFERROR(Table6[[#This Row],[Redbook WAC price per tablet/capsule (Jul 2016)]]/Table6[[#This Row],[Redbook package strength (mg) (Jul 2016)]], "")</f>
        <v>1.7500000000000002E-2</v>
      </c>
      <c r="M56" s="74" t="s">
        <v>1741</v>
      </c>
      <c r="N56" s="57" t="s">
        <v>1891</v>
      </c>
      <c r="O56" s="57" t="s">
        <v>1892</v>
      </c>
      <c r="P56" s="57">
        <v>100</v>
      </c>
      <c r="Q56" s="57">
        <v>1.75</v>
      </c>
      <c r="R56" s="57">
        <f>IFERROR(Table6[[#This Row],[Redbook WAC price per tablet/capsule (Jan 2017)]]/Table6[[#This Row],[Redbook package strength (mg) (Jan 2017)]], "")</f>
        <v>1.7500000000000002E-2</v>
      </c>
      <c r="S56" s="74" t="s">
        <v>1741</v>
      </c>
      <c r="T56" s="57" t="s">
        <v>1891</v>
      </c>
      <c r="U56" s="57" t="s">
        <v>1892</v>
      </c>
      <c r="V56" s="57">
        <v>100</v>
      </c>
      <c r="W56" s="284">
        <f>(2.1/1.2)</f>
        <v>1.7500000000000002</v>
      </c>
      <c r="X56" s="284">
        <f>IFERROR(Table6[[#This Row],[Redbook WAC price per tablet/capsule (Jul 2017)]]/Table6[[#This Row],[Redbook package strength (mg) (Jul 2017)]], "")</f>
        <v>1.7500000000000002E-2</v>
      </c>
      <c r="Y56" s="57" t="s">
        <v>1741</v>
      </c>
      <c r="Z56" s="388" t="s">
        <v>2715</v>
      </c>
      <c r="AA56" s="389" t="s">
        <v>1892</v>
      </c>
      <c r="AB56" s="158">
        <v>100</v>
      </c>
      <c r="AC56" s="390">
        <v>0.6</v>
      </c>
      <c r="AD56" s="390">
        <f>Table6[[#This Row],[Redbook WAC price per tablet/capsule (Jan 2018)]]/Table6[[#This Row],[Redbook package strength (mg) (Jan 2018)]]</f>
        <v>6.0000000000000001E-3</v>
      </c>
      <c r="AE56" s="391" t="s">
        <v>1741</v>
      </c>
      <c r="AF56" s="388" t="s">
        <v>2716</v>
      </c>
      <c r="AG56" s="389" t="s">
        <v>1892</v>
      </c>
      <c r="AH56" s="397">
        <v>100</v>
      </c>
      <c r="AI56" s="399">
        <v>1.0920000000000001</v>
      </c>
      <c r="AJ56" s="399">
        <f>Table6[[#This Row],[Redbook WAC price per tablet/capsule (Jul 2018)]]/Table6[[#This Row],[Redbook package strength (mg) (Jul 2018)]]</f>
        <v>1.0920000000000001E-2</v>
      </c>
      <c r="AK56" s="391" t="s">
        <v>1741</v>
      </c>
      <c r="AL56" s="57" t="s">
        <v>1891</v>
      </c>
      <c r="AM56" s="57" t="s">
        <v>1892</v>
      </c>
      <c r="AN56" s="57">
        <v>100</v>
      </c>
      <c r="AO56" s="58">
        <v>0.74</v>
      </c>
      <c r="AP56" s="58">
        <f>IFERROR(Table6[[#This Row],[Redbook WAC price per tablet/capsule (Jan 2019)]]/Table6[[#This Row],[Redbook package strength (mg) (Jan 2019)]], "")</f>
        <v>7.4000000000000003E-3</v>
      </c>
      <c r="AQ56" s="74" t="s">
        <v>1741</v>
      </c>
      <c r="AR56" s="73" t="s">
        <v>1891</v>
      </c>
      <c r="AS56" s="57" t="s">
        <v>1892</v>
      </c>
      <c r="AT56" s="57">
        <v>100</v>
      </c>
      <c r="AU56" s="58">
        <v>0.6</v>
      </c>
      <c r="AV56" s="58">
        <f>IFERROR(Table6[[#This Row],[Redbook WAC price per tablet/capsule (Jul 2019)]]/Table6[[#This Row],[Redbook package strength (mg) (Jul 2019)]], "")</f>
        <v>6.0000000000000001E-3</v>
      </c>
      <c r="AW56" s="74" t="s">
        <v>1741</v>
      </c>
      <c r="AX56" t="s">
        <v>1897</v>
      </c>
      <c r="AY56" t="s">
        <v>1892</v>
      </c>
      <c r="AZ56">
        <v>100</v>
      </c>
      <c r="BA56" s="59">
        <v>0.6</v>
      </c>
      <c r="BB56" s="59">
        <f>IFERROR(Table6[[#This Row],[Redbook WAC price per tablet/capsule (Jan 2020)]]/Table6[[#This Row],[Redbook package strength (mg) (Jan 2020)]], "")</f>
        <v>6.0000000000000001E-3</v>
      </c>
      <c r="BC56" t="s">
        <v>1741</v>
      </c>
      <c r="BD56" t="s">
        <v>1897</v>
      </c>
      <c r="BE56" t="s">
        <v>1892</v>
      </c>
      <c r="BF56">
        <v>100</v>
      </c>
      <c r="BG56" s="58">
        <v>0.6</v>
      </c>
      <c r="BH56" s="58">
        <f>IFERROR(Table6[[#This Row],[Redbook WAC price per tablet/capsule (Jul 2020)]]/Table6[[#This Row],[Redbook package strength (mg) (Jul 2020)]], "")</f>
        <v>6.0000000000000001E-3</v>
      </c>
      <c r="BI56" s="74" t="s">
        <v>1741</v>
      </c>
      <c r="BJ56" s="57" t="s">
        <v>1897</v>
      </c>
      <c r="BK56" s="57" t="s">
        <v>1892</v>
      </c>
      <c r="BL56" s="57">
        <v>100</v>
      </c>
      <c r="BM56" s="58">
        <v>0.6</v>
      </c>
      <c r="BN56" s="58">
        <f>IFERROR(Table6[[#This Row],[Redbook WAC price per tablet/capsule (Jan 2021)]]/Table6[[#This Row],[Redbook package strength (mg) (Jan 2021)]], "")</f>
        <v>6.0000000000000001E-3</v>
      </c>
      <c r="BO56" s="57" t="s">
        <v>1741</v>
      </c>
      <c r="BP56" s="73" t="s">
        <v>2060</v>
      </c>
      <c r="BQ56" s="57" t="s">
        <v>1892</v>
      </c>
      <c r="BR56" s="57">
        <v>100</v>
      </c>
      <c r="BS56" s="58">
        <v>0.4</v>
      </c>
      <c r="BT56" s="58">
        <f>IFERROR(Table6[[#This Row],[Redbook WAC price per tablet/capsule (Jul 2021)]]/Table6[[#This Row],[Redbook package strength (mg) (Jul 2021)]], "")</f>
        <v>4.0000000000000001E-3</v>
      </c>
      <c r="BU56" s="57" t="s">
        <v>1741</v>
      </c>
      <c r="BV56" s="186" t="s">
        <v>2060</v>
      </c>
      <c r="BW56" s="1" t="s">
        <v>1892</v>
      </c>
      <c r="BX56">
        <v>100</v>
      </c>
      <c r="BY56" s="59">
        <v>0.4</v>
      </c>
      <c r="BZ56" s="58">
        <f>IFERROR(Table6[[#This Row],[Redbook WAC price per tablet/capsule (Jan 2022)]]/Table6[[#This Row],[Redbook package strength (mg) (Jan 2022)]], "")</f>
        <v>4.0000000000000001E-3</v>
      </c>
      <c r="CA56" s="74" t="s">
        <v>1741</v>
      </c>
      <c r="CB56" s="57" t="s">
        <v>2060</v>
      </c>
      <c r="CC56" s="1" t="s">
        <v>1892</v>
      </c>
      <c r="CD56">
        <v>100</v>
      </c>
      <c r="CE56" s="58">
        <v>0.4</v>
      </c>
      <c r="CF56" s="58">
        <f>IFERROR(Table6[[#This Row],[Redbook WAC price per tablet/capsule (Jul 2022)]]/Table6[[#This Row],[Redbook package strength (mg) (Jul 2022)]], "")</f>
        <v>4.0000000000000001E-3</v>
      </c>
      <c r="CG56" s="74" t="s">
        <v>1741</v>
      </c>
      <c r="CH56" s="57" t="s">
        <v>2060</v>
      </c>
      <c r="CI56" s="57" t="s">
        <v>1892</v>
      </c>
      <c r="CJ56" s="57">
        <v>100</v>
      </c>
      <c r="CK56" s="58">
        <v>0.4</v>
      </c>
      <c r="CL56" s="58">
        <f>IFERROR(Table6[[#This Row],[Redbook WAC price per tablet/capsule (Jan 2023)]]/Table6[[#This Row],[Redbook package strength (mg) (Jan 2023)]], "")</f>
        <v>4.0000000000000001E-3</v>
      </c>
      <c r="CM56" s="57" t="s">
        <v>1741</v>
      </c>
      <c r="CN56" t="s">
        <v>2667</v>
      </c>
    </row>
    <row r="57" spans="1:92" x14ac:dyDescent="0.3">
      <c r="A57" s="91" t="s">
        <v>120</v>
      </c>
      <c r="B57" s="57" t="s">
        <v>1881</v>
      </c>
      <c r="C57" s="57" t="s">
        <v>1880</v>
      </c>
      <c r="D57" s="57">
        <v>10</v>
      </c>
      <c r="E57" s="57">
        <v>240</v>
      </c>
      <c r="F57" s="57">
        <f>IFERROR(Table6[[#This Row],[Redbook WAC price per tablet/capsule (Jan 2016)]]/Table6[[#This Row],[Redbook package strength (mg) (Jan 2016)]], "")</f>
        <v>24</v>
      </c>
      <c r="G57" s="74" t="s">
        <v>1741</v>
      </c>
      <c r="H57" s="57" t="s">
        <v>1881</v>
      </c>
      <c r="I57" s="57" t="s">
        <v>1880</v>
      </c>
      <c r="J57" s="57">
        <v>10</v>
      </c>
      <c r="K57" s="57">
        <v>240</v>
      </c>
      <c r="L57" s="57">
        <f>IFERROR(Table6[[#This Row],[Redbook WAC price per tablet/capsule (Jul 2016)]]/Table6[[#This Row],[Redbook package strength (mg) (Jul 2016)]], "")</f>
        <v>24</v>
      </c>
      <c r="M57" s="74" t="s">
        <v>1741</v>
      </c>
      <c r="N57" s="57" t="s">
        <v>1881</v>
      </c>
      <c r="O57" s="57" t="s">
        <v>1880</v>
      </c>
      <c r="P57" s="57">
        <v>10</v>
      </c>
      <c r="Q57" s="57">
        <v>245.48333333299999</v>
      </c>
      <c r="R57" s="57">
        <f>IFERROR(Table6[[#This Row],[Redbook WAC price per tablet/capsule (Jan 2017)]]/Table6[[#This Row],[Redbook package strength (mg) (Jan 2017)]], "")</f>
        <v>24.5483333333</v>
      </c>
      <c r="S57" s="74" t="s">
        <v>1741</v>
      </c>
      <c r="T57" s="57" t="s">
        <v>1881</v>
      </c>
      <c r="U57" s="57" t="s">
        <v>1880</v>
      </c>
      <c r="V57" s="57">
        <v>10</v>
      </c>
      <c r="W57" s="284">
        <f>(309/1.2)</f>
        <v>257.5</v>
      </c>
      <c r="X57" s="284">
        <f>IFERROR(Table6[[#This Row],[Redbook WAC price per tablet/capsule (Jul 2017)]]/Table6[[#This Row],[Redbook package strength (mg) (Jul 2017)]], "")</f>
        <v>25.75</v>
      </c>
      <c r="Y57" s="57" t="s">
        <v>1741</v>
      </c>
      <c r="Z57" s="388" t="s">
        <v>1881</v>
      </c>
      <c r="AA57" s="389" t="s">
        <v>1880</v>
      </c>
      <c r="AB57" s="158">
        <v>10</v>
      </c>
      <c r="AC57" s="390">
        <v>282.83333333333331</v>
      </c>
      <c r="AD57" s="390">
        <f>Table6[[#This Row],[Redbook WAC price per tablet/capsule (Jan 2018)]]/Table6[[#This Row],[Redbook package strength (mg) (Jan 2018)]]</f>
        <v>28.283333333333331</v>
      </c>
      <c r="AE57" s="391" t="s">
        <v>1741</v>
      </c>
      <c r="AF57" s="388" t="s">
        <v>1881</v>
      </c>
      <c r="AG57" s="389" t="s">
        <v>1880</v>
      </c>
      <c r="AH57" s="397">
        <v>10</v>
      </c>
      <c r="AI57" s="399">
        <v>282.83333333333331</v>
      </c>
      <c r="AJ57" s="399">
        <f>Table6[[#This Row],[Redbook WAC price per tablet/capsule (Jul 2018)]]/Table6[[#This Row],[Redbook package strength (mg) (Jul 2018)]]</f>
        <v>28.283333333333331</v>
      </c>
      <c r="AK57" s="391" t="s">
        <v>1741</v>
      </c>
      <c r="AL57" s="57" t="s">
        <v>1881</v>
      </c>
      <c r="AM57" s="57" t="s">
        <v>1880</v>
      </c>
      <c r="AN57" s="57">
        <v>10</v>
      </c>
      <c r="AO57" s="58">
        <v>292.58330000000001</v>
      </c>
      <c r="AP57" s="58">
        <f>IFERROR(Table6[[#This Row],[Redbook WAC price per tablet/capsule (Jan 2019)]]/Table6[[#This Row],[Redbook package strength (mg) (Jan 2019)]], "")</f>
        <v>29.258330000000001</v>
      </c>
      <c r="AQ57" s="74" t="s">
        <v>1741</v>
      </c>
      <c r="AR57" s="73" t="s">
        <v>1881</v>
      </c>
      <c r="AS57" s="57" t="s">
        <v>1880</v>
      </c>
      <c r="AT57" s="57">
        <v>10</v>
      </c>
      <c r="AU57" s="58">
        <v>306.23329999999999</v>
      </c>
      <c r="AV57" s="58">
        <f>IFERROR(Table6[[#This Row],[Redbook WAC price per tablet/capsule (Jul 2019)]]/Table6[[#This Row],[Redbook package strength (mg) (Jul 2019)]], "")</f>
        <v>30.623329999999999</v>
      </c>
      <c r="AW57" s="74" t="s">
        <v>1741</v>
      </c>
      <c r="AX57" s="73" t="s">
        <v>1881</v>
      </c>
      <c r="AY57" s="57" t="s">
        <v>1880</v>
      </c>
      <c r="AZ57" s="57">
        <v>10</v>
      </c>
      <c r="BA57" s="59">
        <v>306.23329999999999</v>
      </c>
      <c r="BB57" s="59">
        <f>IFERROR(Table6[[#This Row],[Redbook WAC price per tablet/capsule (Jan 2020)]]/Table6[[#This Row],[Redbook package strength (mg) (Jan 2020)]], "")</f>
        <v>30.623329999999999</v>
      </c>
      <c r="BC57" t="s">
        <v>1741</v>
      </c>
      <c r="BD57" s="73" t="s">
        <v>1881</v>
      </c>
      <c r="BE57" s="57" t="s">
        <v>1880</v>
      </c>
      <c r="BF57" s="57">
        <v>10</v>
      </c>
      <c r="BG57" s="59">
        <v>317.01666699999998</v>
      </c>
      <c r="BH57" s="58">
        <f>IFERROR(Table6[[#This Row],[Redbook WAC price per tablet/capsule (Jul 2020)]]/Table6[[#This Row],[Redbook package strength (mg) (Jul 2020)]], "")</f>
        <v>31.701666699999997</v>
      </c>
      <c r="BI57" s="74" t="s">
        <v>1741</v>
      </c>
      <c r="BJ57" s="57" t="s">
        <v>1881</v>
      </c>
      <c r="BK57" s="57" t="s">
        <v>1880</v>
      </c>
      <c r="BL57" s="57">
        <v>10</v>
      </c>
      <c r="BM57" s="58">
        <v>317.01666699999998</v>
      </c>
      <c r="BN57" s="58">
        <f>IFERROR(Table6[[#This Row],[Redbook WAC price per tablet/capsule (Jan 2021)]]/Table6[[#This Row],[Redbook package strength (mg) (Jan 2021)]], "")</f>
        <v>31.701666699999997</v>
      </c>
      <c r="BO57" s="57" t="s">
        <v>1741</v>
      </c>
      <c r="BP57" s="73" t="s">
        <v>1881</v>
      </c>
      <c r="BQ57" s="57" t="s">
        <v>1880</v>
      </c>
      <c r="BR57" s="57">
        <v>10</v>
      </c>
      <c r="BS57" s="58">
        <v>328.11666700000001</v>
      </c>
      <c r="BT57" s="58">
        <f>IFERROR(Table6[[#This Row],[Redbook WAC price per tablet/capsule (Jul 2021)]]/Table6[[#This Row],[Redbook package strength (mg) (Jul 2021)]], "")</f>
        <v>32.811666700000004</v>
      </c>
      <c r="BU57" s="57" t="s">
        <v>1741</v>
      </c>
      <c r="BV57" s="186" t="s">
        <v>1881</v>
      </c>
      <c r="BW57" s="158" t="s">
        <v>1880</v>
      </c>
      <c r="BX57" s="57">
        <v>10</v>
      </c>
      <c r="BY57" s="58">
        <v>339.38</v>
      </c>
      <c r="BZ57" s="58">
        <f>IFERROR(Table6[[#This Row],[Redbook WAC price per tablet/capsule (Jan 2022)]]/Table6[[#This Row],[Redbook package strength (mg) (Jan 2022)]], "")</f>
        <v>33.938000000000002</v>
      </c>
      <c r="CA57" s="74" t="s">
        <v>1741</v>
      </c>
      <c r="CB57" s="57" t="s">
        <v>1881</v>
      </c>
      <c r="CC57" s="158" t="s">
        <v>1880</v>
      </c>
      <c r="CD57" s="57">
        <v>10</v>
      </c>
      <c r="CE57" s="58">
        <v>348.7</v>
      </c>
      <c r="CF57" s="247">
        <f>IFERROR(Table6[[#This Row],[Redbook WAC price per tablet/capsule (Jul 2022)]]/Table6[[#This Row],[Redbook package strength (mg) (Jul 2022)]], "")</f>
        <v>34.869999999999997</v>
      </c>
      <c r="CG57" s="74" t="s">
        <v>1741</v>
      </c>
      <c r="CH57" s="57" t="s">
        <v>1881</v>
      </c>
      <c r="CI57" s="57" t="s">
        <v>1880</v>
      </c>
      <c r="CJ57" s="57">
        <v>10</v>
      </c>
      <c r="CK57" s="58">
        <v>355.21666666700003</v>
      </c>
      <c r="CL57" s="58">
        <f>IFERROR(Table6[[#This Row],[Redbook WAC price per tablet/capsule (Jan 2023)]]/Table6[[#This Row],[Redbook package strength (mg) (Jan 2023)]], "")</f>
        <v>35.5216666667</v>
      </c>
      <c r="CM57" s="57" t="s">
        <v>1741</v>
      </c>
    </row>
    <row r="58" spans="1:92" x14ac:dyDescent="0.3">
      <c r="A58" s="85" t="s">
        <v>122</v>
      </c>
      <c r="B58" s="342" t="s">
        <v>1785</v>
      </c>
      <c r="C58" s="57" t="s">
        <v>1508</v>
      </c>
      <c r="D58" s="57">
        <v>4</v>
      </c>
      <c r="E58" s="57">
        <v>2890</v>
      </c>
      <c r="F58" s="57">
        <f>IFERROR(Table6[[#This Row],[Redbook WAC price per tablet/capsule (Jan 2016)]]/Table6[[#This Row],[Redbook package strength (mg) (Jan 2016)]], "")</f>
        <v>722.5</v>
      </c>
      <c r="G58" s="74" t="s">
        <v>1741</v>
      </c>
      <c r="H58" s="342" t="s">
        <v>1785</v>
      </c>
      <c r="I58" s="57" t="s">
        <v>1508</v>
      </c>
      <c r="J58" s="57">
        <v>4</v>
      </c>
      <c r="K58" s="57">
        <v>2890</v>
      </c>
      <c r="L58" s="57">
        <f>IFERROR(Table6[[#This Row],[Redbook WAC price per tablet/capsule (Jul 2016)]]/Table6[[#This Row],[Redbook package strength (mg) (Jul 2016)]], "")</f>
        <v>722.5</v>
      </c>
      <c r="M58" s="74" t="s">
        <v>1741</v>
      </c>
      <c r="N58" s="57" t="s">
        <v>1785</v>
      </c>
      <c r="O58" s="57" t="s">
        <v>1508</v>
      </c>
      <c r="P58" s="57">
        <v>4</v>
      </c>
      <c r="Q58" s="57">
        <v>3006</v>
      </c>
      <c r="R58" s="57">
        <f>IFERROR(Table6[[#This Row],[Redbook WAC price per tablet/capsule (Jan 2017)]]/Table6[[#This Row],[Redbook package strength (mg) (Jan 2017)]], "")</f>
        <v>751.5</v>
      </c>
      <c r="S58" s="74" t="s">
        <v>1741</v>
      </c>
      <c r="T58" s="57" t="s">
        <v>2146</v>
      </c>
      <c r="U58" s="57" t="s">
        <v>1508</v>
      </c>
      <c r="V58" s="57">
        <v>4</v>
      </c>
      <c r="W58" s="284">
        <f>(3787.2/1.2)</f>
        <v>3156</v>
      </c>
      <c r="X58" s="284">
        <f>IFERROR(Table6[[#This Row],[Redbook WAC price per tablet/capsule (Jul 2017)]]/Table6[[#This Row],[Redbook package strength (mg) (Jul 2017)]], "")</f>
        <v>789</v>
      </c>
      <c r="Y58" s="57" t="s">
        <v>1741</v>
      </c>
      <c r="Z58" s="388" t="s">
        <v>2146</v>
      </c>
      <c r="AA58" s="389" t="s">
        <v>1508</v>
      </c>
      <c r="AB58" s="158">
        <v>4</v>
      </c>
      <c r="AC58" s="390">
        <v>3156</v>
      </c>
      <c r="AD58" s="390">
        <f>Table6[[#This Row],[Redbook WAC price per tablet/capsule (Jan 2018)]]/Table6[[#This Row],[Redbook package strength (mg) (Jan 2018)]]</f>
        <v>789</v>
      </c>
      <c r="AE58" s="391" t="s">
        <v>1741</v>
      </c>
      <c r="AF58" s="388" t="s">
        <v>2146</v>
      </c>
      <c r="AG58" s="389" t="s">
        <v>1508</v>
      </c>
      <c r="AH58" s="397">
        <v>4</v>
      </c>
      <c r="AI58" s="399">
        <v>3314.0000000000005</v>
      </c>
      <c r="AJ58" s="399">
        <f>Table6[[#This Row],[Redbook WAC price per tablet/capsule (Jul 2018)]]/Table6[[#This Row],[Redbook package strength (mg) (Jul 2018)]]</f>
        <v>828.50000000000011</v>
      </c>
      <c r="AK58" s="391" t="s">
        <v>1741</v>
      </c>
      <c r="AL58" s="57" t="s">
        <v>1785</v>
      </c>
      <c r="AM58" s="57" t="s">
        <v>1508</v>
      </c>
      <c r="AN58" s="57">
        <v>4</v>
      </c>
      <c r="AO58" s="58">
        <v>3314</v>
      </c>
      <c r="AP58" s="58">
        <f>IFERROR(Table6[[#This Row],[Redbook WAC price per tablet/capsule (Jan 2019)]]/Table6[[#This Row],[Redbook package strength (mg) (Jan 2019)]], "")</f>
        <v>828.5</v>
      </c>
      <c r="AQ58" s="74" t="s">
        <v>1741</v>
      </c>
      <c r="AR58" s="73" t="s">
        <v>1785</v>
      </c>
      <c r="AS58" s="57" t="s">
        <v>1508</v>
      </c>
      <c r="AT58" s="57">
        <v>4</v>
      </c>
      <c r="AU58" s="58">
        <v>3406.3332999999998</v>
      </c>
      <c r="AV58" s="58">
        <f>IFERROR(Table6[[#This Row],[Redbook WAC price per tablet/capsule (Jul 2019)]]/Table6[[#This Row],[Redbook package strength (mg) (Jul 2019)]], "")</f>
        <v>851.58332499999995</v>
      </c>
      <c r="AW58" s="74" t="s">
        <v>1741</v>
      </c>
      <c r="AX58" s="73" t="s">
        <v>1785</v>
      </c>
      <c r="AY58" s="57" t="s">
        <v>1508</v>
      </c>
      <c r="AZ58" s="57">
        <v>4</v>
      </c>
      <c r="BA58" s="59">
        <v>3406.3332999999998</v>
      </c>
      <c r="BB58" s="59">
        <f>IFERROR(Table6[[#This Row],[Redbook WAC price per tablet/capsule (Jan 2020)]]/Table6[[#This Row],[Redbook package strength (mg) (Jan 2020)]], "")</f>
        <v>851.58332499999995</v>
      </c>
      <c r="BC58" t="s">
        <v>1741</v>
      </c>
      <c r="BD58" s="73" t="s">
        <v>1785</v>
      </c>
      <c r="BE58" s="57" t="s">
        <v>1508</v>
      </c>
      <c r="BF58" s="57">
        <v>4</v>
      </c>
      <c r="BG58" s="58">
        <v>3406.3332999999998</v>
      </c>
      <c r="BH58" s="58">
        <f>IFERROR(Table6[[#This Row],[Redbook WAC price per tablet/capsule (Jul 2020)]]/Table6[[#This Row],[Redbook package strength (mg) (Jul 2020)]], "")</f>
        <v>851.58332499999995</v>
      </c>
      <c r="BI58" s="74" t="s">
        <v>1741</v>
      </c>
      <c r="BJ58" s="57" t="s">
        <v>1785</v>
      </c>
      <c r="BK58" s="57" t="s">
        <v>1508</v>
      </c>
      <c r="BL58" s="57">
        <v>4</v>
      </c>
      <c r="BM58" s="58">
        <v>3491.6666700000001</v>
      </c>
      <c r="BN58" s="58">
        <f>IFERROR(Table6[[#This Row],[Redbook WAC price per tablet/capsule (Jan 2021)]]/Table6[[#This Row],[Redbook package strength (mg) (Jan 2021)]], "")</f>
        <v>872.91666750000002</v>
      </c>
      <c r="BO58" s="57" t="s">
        <v>1741</v>
      </c>
      <c r="BP58" s="73" t="s">
        <v>1785</v>
      </c>
      <c r="BQ58" s="57" t="s">
        <v>1508</v>
      </c>
      <c r="BR58" s="57">
        <v>4</v>
      </c>
      <c r="BS58" s="58">
        <v>3631.3333299999999</v>
      </c>
      <c r="BT58" s="58">
        <f>IFERROR(Table6[[#This Row],[Redbook WAC price per tablet/capsule (Jul 2021)]]/Table6[[#This Row],[Redbook package strength (mg) (Jul 2021)]], "")</f>
        <v>907.83333249999998</v>
      </c>
      <c r="BU58" s="57" t="s">
        <v>1741</v>
      </c>
      <c r="BV58" s="186" t="s">
        <v>1785</v>
      </c>
      <c r="BW58" s="158" t="s">
        <v>1508</v>
      </c>
      <c r="BX58" s="57">
        <v>4</v>
      </c>
      <c r="BY58" s="58">
        <v>3633</v>
      </c>
      <c r="BZ58" s="58">
        <f>IFERROR(Table6[[#This Row],[Redbook WAC price per tablet/capsule (Jan 2022)]]/Table6[[#This Row],[Redbook package strength (mg) (Jan 2022)]], "")</f>
        <v>908.25</v>
      </c>
      <c r="CA58" s="74" t="s">
        <v>1741</v>
      </c>
      <c r="CB58" s="57" t="s">
        <v>2146</v>
      </c>
      <c r="CC58" s="158" t="s">
        <v>1508</v>
      </c>
      <c r="CD58" s="57">
        <v>4</v>
      </c>
      <c r="CE58" s="58">
        <v>3813</v>
      </c>
      <c r="CF58" s="58">
        <f>IFERROR(Table6[[#This Row],[Redbook WAC price per tablet/capsule (Jul 2022)]]/Table6[[#This Row],[Redbook package strength (mg) (Jul 2022)]], "")</f>
        <v>953.25</v>
      </c>
      <c r="CG58" s="74" t="s">
        <v>1741</v>
      </c>
      <c r="CH58" s="57" t="s">
        <v>2379</v>
      </c>
      <c r="CI58" s="57" t="s">
        <v>1508</v>
      </c>
      <c r="CJ58" s="57">
        <v>4</v>
      </c>
      <c r="CK58" s="58">
        <v>3813</v>
      </c>
      <c r="CL58" s="58">
        <f>IFERROR(Table6[[#This Row],[Redbook WAC price per tablet/capsule (Jan 2023)]]/Table6[[#This Row],[Redbook package strength (mg) (Jan 2023)]], "")</f>
        <v>953.25</v>
      </c>
      <c r="CM58" s="57" t="s">
        <v>1741</v>
      </c>
    </row>
    <row r="59" spans="1:92" x14ac:dyDescent="0.3">
      <c r="A59" s="83" t="s">
        <v>126</v>
      </c>
      <c r="B59" s="57" t="s">
        <v>1786</v>
      </c>
      <c r="C59" s="57" t="s">
        <v>1509</v>
      </c>
      <c r="D59">
        <v>20</v>
      </c>
      <c r="E59" s="57">
        <v>1143.33333333</v>
      </c>
      <c r="F59" s="57">
        <f>IFERROR(Table6[[#This Row],[Redbook WAC price per tablet/capsule (Jan 2016)]]/Table6[[#This Row],[Redbook package strength (mg) (Jan 2016)]], "")</f>
        <v>57.166666666499999</v>
      </c>
      <c r="G59" s="74" t="s">
        <v>1741</v>
      </c>
      <c r="H59" s="57" t="s">
        <v>1786</v>
      </c>
      <c r="I59" s="57" t="s">
        <v>1509</v>
      </c>
      <c r="J59" s="57">
        <v>20</v>
      </c>
      <c r="K59" s="57">
        <v>1222.2236083299999</v>
      </c>
      <c r="L59" s="57">
        <f>IFERROR(Table6[[#This Row],[Redbook WAC price per tablet/capsule (Jul 2016)]]/Table6[[#This Row],[Redbook package strength (mg) (Jul 2016)]], "")</f>
        <v>61.111180416499998</v>
      </c>
      <c r="M59" s="74" t="s">
        <v>1741</v>
      </c>
      <c r="N59" s="57" t="s">
        <v>1786</v>
      </c>
      <c r="O59" s="57" t="s">
        <v>1509</v>
      </c>
      <c r="P59" s="57">
        <v>20</v>
      </c>
      <c r="Q59" s="57">
        <v>1222.2236083299999</v>
      </c>
      <c r="R59" s="57">
        <f>IFERROR(Table6[[#This Row],[Redbook WAC price per tablet/capsule (Jan 2017)]]/Table6[[#This Row],[Redbook package strength (mg) (Jan 2017)]], "")</f>
        <v>61.111180416499998</v>
      </c>
      <c r="S59" s="74" t="s">
        <v>1741</v>
      </c>
      <c r="T59" s="57" t="s">
        <v>1786</v>
      </c>
      <c r="U59" s="57" t="s">
        <v>1509</v>
      </c>
      <c r="V59" s="57">
        <v>20</v>
      </c>
      <c r="W59" s="284">
        <f>(1466.66833/1.2)</f>
        <v>1222.2236083333335</v>
      </c>
      <c r="X59" s="284">
        <f>IFERROR(Table6[[#This Row],[Redbook WAC price per tablet/capsule (Jul 2017)]]/Table6[[#This Row],[Redbook package strength (mg) (Jul 2017)]], "")</f>
        <v>61.11118041666667</v>
      </c>
      <c r="Y59" s="57" t="s">
        <v>1741</v>
      </c>
      <c r="Z59" s="388" t="s">
        <v>1786</v>
      </c>
      <c r="AA59" s="389" t="s">
        <v>1509</v>
      </c>
      <c r="AB59" s="158">
        <v>20</v>
      </c>
      <c r="AC59" s="390">
        <v>1222.2236083333335</v>
      </c>
      <c r="AD59" s="390">
        <f>Table6[[#This Row],[Redbook WAC price per tablet/capsule (Jan 2018)]]/Table6[[#This Row],[Redbook package strength (mg) (Jan 2018)]]</f>
        <v>61.11118041666667</v>
      </c>
      <c r="AE59" s="391" t="s">
        <v>1741</v>
      </c>
      <c r="AF59" s="388" t="s">
        <v>1786</v>
      </c>
      <c r="AG59" s="389" t="s">
        <v>1509</v>
      </c>
      <c r="AH59" s="397">
        <v>20</v>
      </c>
      <c r="AI59" s="399">
        <v>1343.2236083333335</v>
      </c>
      <c r="AJ59" s="399">
        <f>Table6[[#This Row],[Redbook WAC price per tablet/capsule (Jul 2018)]]/Table6[[#This Row],[Redbook package strength (mg) (Jul 2018)]]</f>
        <v>67.161180416666667</v>
      </c>
      <c r="AK59" s="391" t="s">
        <v>1741</v>
      </c>
      <c r="AL59" s="57" t="s">
        <v>1786</v>
      </c>
      <c r="AM59" s="57" t="s">
        <v>1509</v>
      </c>
      <c r="AN59" s="57">
        <v>20</v>
      </c>
      <c r="AO59" s="58">
        <v>1343.2233000000001</v>
      </c>
      <c r="AP59" s="58">
        <f>IFERROR(Table6[[#This Row],[Redbook WAC price per tablet/capsule (Jan 2019)]]/Table6[[#This Row],[Redbook package strength (mg) (Jan 2019)]], "")</f>
        <v>67.161165000000011</v>
      </c>
      <c r="AQ59" s="74" t="s">
        <v>1741</v>
      </c>
      <c r="AR59" s="73" t="s">
        <v>1786</v>
      </c>
      <c r="AS59" s="57" t="s">
        <v>1509</v>
      </c>
      <c r="AT59" s="57">
        <v>20</v>
      </c>
      <c r="AU59" s="58">
        <v>1356.655</v>
      </c>
      <c r="AV59" s="58">
        <f>IFERROR(Table6[[#This Row],[Redbook WAC price per tablet/capsule (Jul 2019)]]/Table6[[#This Row],[Redbook package strength (mg) (Jul 2019)]], "")</f>
        <v>67.832750000000004</v>
      </c>
      <c r="AW59" s="74" t="s">
        <v>1741</v>
      </c>
      <c r="AX59" s="73" t="s">
        <v>1786</v>
      </c>
      <c r="AY59" s="57" t="s">
        <v>1509</v>
      </c>
      <c r="AZ59" s="57">
        <v>20</v>
      </c>
      <c r="BA59" s="59">
        <v>1626.6635000000001</v>
      </c>
      <c r="BB59" s="59">
        <f>IFERROR(Table6[[#This Row],[Redbook WAC price per tablet/capsule (Jan 2020)]]/Table6[[#This Row],[Redbook package strength (mg) (Jan 2020)]], "")</f>
        <v>81.333175000000011</v>
      </c>
      <c r="BC59" s="74" t="s">
        <v>1741</v>
      </c>
      <c r="BD59" s="73" t="s">
        <v>1786</v>
      </c>
      <c r="BE59" s="57" t="s">
        <v>1509</v>
      </c>
      <c r="BF59" s="57">
        <v>20</v>
      </c>
      <c r="BG59" s="58">
        <v>1781.1967</v>
      </c>
      <c r="BH59" s="58">
        <f>IFERROR(Table6[[#This Row],[Redbook WAC price per tablet/capsule (Jul 2020)]]/Table6[[#This Row],[Redbook package strength (mg) (Jul 2020)]], "")</f>
        <v>89.059834999999993</v>
      </c>
      <c r="BI59" s="74" t="s">
        <v>1741</v>
      </c>
      <c r="BJ59" s="57" t="s">
        <v>1786</v>
      </c>
      <c r="BK59" s="57" t="s">
        <v>1509</v>
      </c>
      <c r="BL59" s="57">
        <v>20</v>
      </c>
      <c r="BM59" s="58">
        <v>1781.1967</v>
      </c>
      <c r="BN59" s="58">
        <f>IFERROR(Table6[[#This Row],[Redbook WAC price per tablet/capsule (Jan 2021)]]/Table6[[#This Row],[Redbook package strength (mg) (Jan 2021)]], "")</f>
        <v>89.059834999999993</v>
      </c>
      <c r="BO59" s="57" t="s">
        <v>1741</v>
      </c>
      <c r="BP59" s="73" t="s">
        <v>1786</v>
      </c>
      <c r="BQ59" s="57" t="s">
        <v>1509</v>
      </c>
      <c r="BR59" s="57">
        <v>20</v>
      </c>
      <c r="BS59" s="58">
        <v>2347.085</v>
      </c>
      <c r="BT59" s="58">
        <f>IFERROR(Table6[[#This Row],[Redbook WAC price per tablet/capsule (Jul 2021)]]/Table6[[#This Row],[Redbook package strength (mg) (Jul 2021)]], "")</f>
        <v>117.35425000000001</v>
      </c>
      <c r="BU59" s="57" t="s">
        <v>1741</v>
      </c>
      <c r="BV59" s="186" t="s">
        <v>2070</v>
      </c>
      <c r="BW59" s="158" t="s">
        <v>1509</v>
      </c>
      <c r="BX59" s="57">
        <v>20</v>
      </c>
      <c r="BY59" s="58">
        <v>2347.08</v>
      </c>
      <c r="BZ59" s="58">
        <f>IFERROR(Table6[[#This Row],[Redbook WAC price per tablet/capsule (Jan 2022)]]/Table6[[#This Row],[Redbook package strength (mg) (Jan 2022)]], "")</f>
        <v>117.354</v>
      </c>
      <c r="CA59" s="74" t="s">
        <v>1741</v>
      </c>
      <c r="CB59" s="57" t="s">
        <v>2070</v>
      </c>
      <c r="CC59" s="158" t="s">
        <v>1509</v>
      </c>
      <c r="CD59" s="57">
        <v>20</v>
      </c>
      <c r="CE59" s="58">
        <v>2347.085</v>
      </c>
      <c r="CF59" s="58">
        <f>IFERROR(Table6[[#This Row],[Redbook WAC price per tablet/capsule (Jul 2022)]]/Table6[[#This Row],[Redbook package strength (mg) (Jul 2022)]], "")</f>
        <v>117.35425000000001</v>
      </c>
      <c r="CG59" s="74" t="s">
        <v>1741</v>
      </c>
      <c r="CH59" s="57" t="s">
        <v>1786</v>
      </c>
      <c r="CI59" s="57" t="s">
        <v>1509</v>
      </c>
      <c r="CJ59" s="57">
        <v>20</v>
      </c>
      <c r="CK59" s="58">
        <v>2347.085</v>
      </c>
      <c r="CL59" s="58">
        <f>IFERROR(Table6[[#This Row],[Redbook WAC price per tablet/capsule (Jan 2023)]]/Table6[[#This Row],[Redbook package strength (mg) (Jan 2023)]], "")</f>
        <v>117.35425000000001</v>
      </c>
      <c r="CM59" s="57" t="s">
        <v>1741</v>
      </c>
    </row>
    <row r="60" spans="1:92" x14ac:dyDescent="0.3">
      <c r="A60" s="85" t="s">
        <v>127</v>
      </c>
      <c r="B60" s="57" t="s">
        <v>1787</v>
      </c>
      <c r="C60" s="57" t="s">
        <v>1510</v>
      </c>
      <c r="D60" s="57">
        <v>4</v>
      </c>
      <c r="E60" s="57">
        <v>582.22142499999995</v>
      </c>
      <c r="F60" s="57">
        <f>IFERROR(Table6[[#This Row],[Redbook WAC price per tablet/capsule (Jan 2016)]]/Table6[[#This Row],[Redbook package strength (mg) (Jan 2016)]], "")</f>
        <v>145.55535624999999</v>
      </c>
      <c r="G60" s="74" t="s">
        <v>1741</v>
      </c>
      <c r="H60" s="57" t="s">
        <v>1787</v>
      </c>
      <c r="I60" s="57" t="s">
        <v>1510</v>
      </c>
      <c r="J60" s="57">
        <v>4</v>
      </c>
      <c r="K60" s="57">
        <v>621.81230000000005</v>
      </c>
      <c r="L60" s="57">
        <f>IFERROR(Table6[[#This Row],[Redbook WAC price per tablet/capsule (Jul 2016)]]/Table6[[#This Row],[Redbook package strength (mg) (Jul 2016)]], "")</f>
        <v>155.45307500000001</v>
      </c>
      <c r="M60" s="74" t="s">
        <v>1741</v>
      </c>
      <c r="N60" s="57" t="s">
        <v>1787</v>
      </c>
      <c r="O60" s="57" t="s">
        <v>1510</v>
      </c>
      <c r="P60" s="57">
        <v>4</v>
      </c>
      <c r="Q60" s="57">
        <v>640.46666666700003</v>
      </c>
      <c r="R60" s="57">
        <f>IFERROR(Table6[[#This Row],[Redbook WAC price per tablet/capsule (Jan 2017)]]/Table6[[#This Row],[Redbook package strength (mg) (Jan 2017)]], "")</f>
        <v>160.11666666675001</v>
      </c>
      <c r="S60" s="74" t="s">
        <v>1741</v>
      </c>
      <c r="T60" s="57" t="s">
        <v>1787</v>
      </c>
      <c r="U60" s="57" t="s">
        <v>1510</v>
      </c>
      <c r="V60" s="57">
        <v>4</v>
      </c>
      <c r="W60" s="284">
        <f>(830.04476/1.2)</f>
        <v>691.7039666666667</v>
      </c>
      <c r="X60" s="284">
        <f>IFERROR(Table6[[#This Row],[Redbook WAC price per tablet/capsule (Jul 2017)]]/Table6[[#This Row],[Redbook package strength (mg) (Jul 2017)]], "")</f>
        <v>172.92599166666668</v>
      </c>
      <c r="Y60" s="57" t="s">
        <v>1741</v>
      </c>
      <c r="Z60" s="388" t="s">
        <v>1787</v>
      </c>
      <c r="AA60" s="389" t="s">
        <v>1510</v>
      </c>
      <c r="AB60" s="158">
        <v>4</v>
      </c>
      <c r="AC60" s="390">
        <v>753.95714166666664</v>
      </c>
      <c r="AD60" s="390">
        <f>Table6[[#This Row],[Redbook WAC price per tablet/capsule (Jan 2018)]]/Table6[[#This Row],[Redbook package strength (mg) (Jan 2018)]]</f>
        <v>188.48928541666666</v>
      </c>
      <c r="AE60" s="391" t="s">
        <v>1741</v>
      </c>
      <c r="AF60" s="388" t="s">
        <v>1787</v>
      </c>
      <c r="AG60" s="389" t="s">
        <v>1510</v>
      </c>
      <c r="AH60" s="397">
        <v>4</v>
      </c>
      <c r="AI60" s="399">
        <v>753.95714166666664</v>
      </c>
      <c r="AJ60" s="399">
        <f>Table6[[#This Row],[Redbook WAC price per tablet/capsule (Jul 2018)]]/Table6[[#This Row],[Redbook package strength (mg) (Jul 2018)]]</f>
        <v>188.48928541666666</v>
      </c>
      <c r="AK60" s="391" t="s">
        <v>1741</v>
      </c>
      <c r="AL60" s="57" t="s">
        <v>1787</v>
      </c>
      <c r="AM60" s="57" t="s">
        <v>1510</v>
      </c>
      <c r="AN60" s="57">
        <v>4</v>
      </c>
      <c r="AO60" s="58">
        <v>791.65520000000004</v>
      </c>
      <c r="AP60" s="58">
        <f>IFERROR(Table6[[#This Row],[Redbook WAC price per tablet/capsule (Jan 2019)]]/Table6[[#This Row],[Redbook package strength (mg) (Jan 2019)]], "")</f>
        <v>197.91380000000001</v>
      </c>
      <c r="AQ60" s="74" t="s">
        <v>1741</v>
      </c>
      <c r="AR60" s="73" t="s">
        <v>1787</v>
      </c>
      <c r="AS60" s="57" t="s">
        <v>1510</v>
      </c>
      <c r="AT60" s="57">
        <v>4</v>
      </c>
      <c r="AU60" s="58">
        <v>819.36339999999996</v>
      </c>
      <c r="AV60" s="58">
        <f>IFERROR(Table6[[#This Row],[Redbook WAC price per tablet/capsule (Jul 2019)]]/Table6[[#This Row],[Redbook package strength (mg) (Jul 2019)]], "")</f>
        <v>204.84084999999999</v>
      </c>
      <c r="AW60" s="74" t="s">
        <v>1741</v>
      </c>
      <c r="AX60" s="73" t="s">
        <v>1787</v>
      </c>
      <c r="AY60" s="57" t="s">
        <v>1510</v>
      </c>
      <c r="AZ60" s="57">
        <v>4</v>
      </c>
      <c r="BA60" s="59">
        <v>868.52520000000004</v>
      </c>
      <c r="BB60" s="59">
        <f>IFERROR(Table6[[#This Row],[Redbook WAC price per tablet/capsule (Jan 2020)]]/Table6[[#This Row],[Redbook package strength (mg) (Jan 2020)]], "")</f>
        <v>217.13130000000001</v>
      </c>
      <c r="BC60" t="s">
        <v>1741</v>
      </c>
      <c r="BD60" s="73" t="s">
        <v>1787</v>
      </c>
      <c r="BE60" s="57" t="s">
        <v>1510</v>
      </c>
      <c r="BF60" s="57">
        <v>4</v>
      </c>
      <c r="BG60" s="58">
        <v>868.52520000000004</v>
      </c>
      <c r="BH60" s="58">
        <f>IFERROR(Table6[[#This Row],[Redbook WAC price per tablet/capsule (Jul 2020)]]/Table6[[#This Row],[Redbook package strength (mg) (Jul 2020)]], "")</f>
        <v>217.13130000000001</v>
      </c>
      <c r="BI60" s="74" t="s">
        <v>1741</v>
      </c>
      <c r="BJ60" s="57" t="s">
        <v>1787</v>
      </c>
      <c r="BK60" s="57" t="s">
        <v>1510</v>
      </c>
      <c r="BL60" s="57">
        <v>4</v>
      </c>
      <c r="BM60" s="58">
        <v>907.60912499999995</v>
      </c>
      <c r="BN60" s="58">
        <f>IFERROR(Table6[[#This Row],[Redbook WAC price per tablet/capsule (Jan 2021)]]/Table6[[#This Row],[Redbook package strength (mg) (Jan 2021)]], "")</f>
        <v>226.90228124999999</v>
      </c>
      <c r="BO60" s="57" t="s">
        <v>1741</v>
      </c>
      <c r="BP60" s="73" t="s">
        <v>1787</v>
      </c>
      <c r="BQ60" s="57" t="s">
        <v>1510</v>
      </c>
      <c r="BR60" s="57">
        <v>4</v>
      </c>
      <c r="BS60" s="58">
        <v>907.60912499999995</v>
      </c>
      <c r="BT60" s="58">
        <f>IFERROR(Table6[[#This Row],[Redbook WAC price per tablet/capsule (Jul 2021)]]/Table6[[#This Row],[Redbook package strength (mg) (Jul 2021)]], "")</f>
        <v>226.90228124999999</v>
      </c>
      <c r="BU60" s="57" t="s">
        <v>1741</v>
      </c>
      <c r="BV60" s="186" t="s">
        <v>2071</v>
      </c>
      <c r="BW60" s="158" t="s">
        <v>1510</v>
      </c>
      <c r="BX60" s="57">
        <v>4</v>
      </c>
      <c r="BY60" s="58">
        <v>948.45</v>
      </c>
      <c r="BZ60" s="58">
        <f>IFERROR(Table6[[#This Row],[Redbook WAC price per tablet/capsule (Jan 2022)]]/Table6[[#This Row],[Redbook package strength (mg) (Jan 2022)]], "")</f>
        <v>237.11250000000001</v>
      </c>
      <c r="CA60" s="74" t="s">
        <v>1741</v>
      </c>
      <c r="CB60" s="57" t="s">
        <v>1787</v>
      </c>
      <c r="CC60" s="158" t="s">
        <v>1510</v>
      </c>
      <c r="CD60" s="57">
        <v>4</v>
      </c>
      <c r="CE60" s="58">
        <v>948.45100000000002</v>
      </c>
      <c r="CF60" s="58">
        <f>IFERROR(Table6[[#This Row],[Redbook WAC price per tablet/capsule (Jul 2022)]]/Table6[[#This Row],[Redbook package strength (mg) (Jul 2022)]], "")</f>
        <v>237.11275000000001</v>
      </c>
      <c r="CG60" s="74" t="s">
        <v>1741</v>
      </c>
      <c r="CH60" s="57" t="s">
        <v>1787</v>
      </c>
      <c r="CI60" s="158" t="s">
        <v>1510</v>
      </c>
      <c r="CJ60" s="57">
        <v>4</v>
      </c>
      <c r="CK60" s="58">
        <v>948.45158333300003</v>
      </c>
      <c r="CL60" s="58">
        <f>IFERROR(Table6[[#This Row],[Redbook WAC price per tablet/capsule (Jan 2023)]]/Table6[[#This Row],[Redbook package strength (mg) (Jan 2023)]], "")</f>
        <v>237.11289583325001</v>
      </c>
      <c r="CM60" s="57" t="s">
        <v>1741</v>
      </c>
    </row>
    <row r="61" spans="1:92" x14ac:dyDescent="0.3">
      <c r="A61" s="83" t="s">
        <v>129</v>
      </c>
      <c r="B61" s="342" t="s">
        <v>2618</v>
      </c>
      <c r="C61" s="248" t="s">
        <v>1511</v>
      </c>
      <c r="D61" s="248">
        <v>50</v>
      </c>
      <c r="E61" s="248">
        <v>67</v>
      </c>
      <c r="F61" s="248">
        <f>IFERROR(Table6[[#This Row],[Redbook WAC price per tablet/capsule (Jan 2016)]]/Table6[[#This Row],[Redbook package strength (mg) (Jan 2016)]], "")</f>
        <v>1.34</v>
      </c>
      <c r="G61" s="360" t="s">
        <v>1741</v>
      </c>
      <c r="H61" s="342" t="s">
        <v>2618</v>
      </c>
      <c r="I61" s="342" t="s">
        <v>1511</v>
      </c>
      <c r="J61" s="342">
        <v>50</v>
      </c>
      <c r="K61" s="342">
        <v>67</v>
      </c>
      <c r="L61" s="57">
        <f>IFERROR(Table6[[#This Row],[Redbook WAC price per tablet/capsule (Jul 2016)]]/Table6[[#This Row],[Redbook package strength (mg) (Jul 2016)]], "")</f>
        <v>1.34</v>
      </c>
      <c r="M61" s="351" t="s">
        <v>1741</v>
      </c>
      <c r="N61" s="342" t="s">
        <v>2618</v>
      </c>
      <c r="O61" s="342" t="s">
        <v>1511</v>
      </c>
      <c r="P61" s="342">
        <v>50</v>
      </c>
      <c r="Q61" s="342">
        <v>68.004999999999995</v>
      </c>
      <c r="R61" s="57">
        <f>IFERROR(Table6[[#This Row],[Redbook WAC price per tablet/capsule (Jan 2017)]]/Table6[[#This Row],[Redbook package strength (mg) (Jan 2017)]], "")</f>
        <v>1.3600999999999999</v>
      </c>
      <c r="S61" s="351" t="s">
        <v>1741</v>
      </c>
      <c r="T61" s="342" t="s">
        <v>2618</v>
      </c>
      <c r="U61" s="57" t="s">
        <v>1511</v>
      </c>
      <c r="V61" s="57">
        <v>50</v>
      </c>
      <c r="W61" s="284">
        <f>(81.606/1.2)</f>
        <v>68.004999999999995</v>
      </c>
      <c r="X61" s="284">
        <f>IFERROR(Table6[[#This Row],[Redbook WAC price per tablet/capsule (Jul 2017)]]/Table6[[#This Row],[Redbook package strength (mg) (Jul 2017)]], "")</f>
        <v>1.3600999999999999</v>
      </c>
      <c r="Y61" s="57" t="s">
        <v>1741</v>
      </c>
      <c r="Z61" s="388" t="s">
        <v>2618</v>
      </c>
      <c r="AA61" s="389" t="s">
        <v>1511</v>
      </c>
      <c r="AB61" s="158">
        <v>50</v>
      </c>
      <c r="AC61" s="390">
        <v>97.92</v>
      </c>
      <c r="AD61" s="390">
        <f>Table6[[#This Row],[Redbook WAC price per tablet/capsule (Jan 2018)]]/Table6[[#This Row],[Redbook package strength (mg) (Jan 2018)]]</f>
        <v>1.9584000000000001</v>
      </c>
      <c r="AE61" s="391" t="s">
        <v>1741</v>
      </c>
      <c r="AF61" s="388" t="s">
        <v>2618</v>
      </c>
      <c r="AG61" s="389" t="s">
        <v>1511</v>
      </c>
      <c r="AH61" s="397">
        <v>50</v>
      </c>
      <c r="AI61" s="399">
        <v>97.92</v>
      </c>
      <c r="AJ61" s="399">
        <f>Table6[[#This Row],[Redbook WAC price per tablet/capsule (Jul 2018)]]/Table6[[#This Row],[Redbook package strength (mg) (Jul 2018)]]</f>
        <v>1.9584000000000001</v>
      </c>
      <c r="AK61" s="391" t="s">
        <v>1741</v>
      </c>
      <c r="AL61" s="57" t="s">
        <v>1788</v>
      </c>
      <c r="AM61" s="57" t="s">
        <v>1511</v>
      </c>
      <c r="AN61" s="57">
        <v>50</v>
      </c>
      <c r="AO61" s="58">
        <v>98.9</v>
      </c>
      <c r="AP61" s="58">
        <f>IFERROR(Table6[[#This Row],[Redbook WAC price per tablet/capsule (Jan 2019)]]/Table6[[#This Row],[Redbook package strength (mg) (Jan 2019)]], "")</f>
        <v>1.9780000000000002</v>
      </c>
      <c r="AQ61" s="74" t="s">
        <v>1741</v>
      </c>
      <c r="AR61" s="73" t="s">
        <v>1788</v>
      </c>
      <c r="AS61" s="57" t="s">
        <v>1511</v>
      </c>
      <c r="AT61" s="57">
        <v>50</v>
      </c>
      <c r="AU61" s="58">
        <v>98.9</v>
      </c>
      <c r="AV61" s="58">
        <f>IFERROR(Table6[[#This Row],[Redbook WAC price per tablet/capsule (Jul 2019)]]/Table6[[#This Row],[Redbook package strength (mg) (Jul 2019)]], "")</f>
        <v>1.9780000000000002</v>
      </c>
      <c r="AW61" s="74" t="s">
        <v>1741</v>
      </c>
      <c r="AX61" s="73" t="s">
        <v>1788</v>
      </c>
      <c r="AY61" s="57" t="s">
        <v>1511</v>
      </c>
      <c r="AZ61" s="57">
        <v>50</v>
      </c>
      <c r="BA61" s="59">
        <v>101.4417</v>
      </c>
      <c r="BB61" s="59">
        <f>IFERROR(Table6[[#This Row],[Redbook WAC price per tablet/capsule (Jan 2020)]]/Table6[[#This Row],[Redbook package strength (mg) (Jan 2020)]], "")</f>
        <v>2.0288339999999998</v>
      </c>
      <c r="BC61" t="s">
        <v>1741</v>
      </c>
      <c r="BD61" s="73" t="s">
        <v>1788</v>
      </c>
      <c r="BE61" s="57" t="s">
        <v>1511</v>
      </c>
      <c r="BF61" s="57">
        <v>50</v>
      </c>
      <c r="BG61" s="58">
        <v>101.4417</v>
      </c>
      <c r="BH61" s="58">
        <f>IFERROR(Table6[[#This Row],[Redbook WAC price per tablet/capsule (Jul 2020)]]/Table6[[#This Row],[Redbook package strength (mg) (Jul 2020)]], "")</f>
        <v>2.0288339999999998</v>
      </c>
      <c r="BI61" s="74" t="s">
        <v>1741</v>
      </c>
      <c r="BJ61" s="57" t="s">
        <v>1788</v>
      </c>
      <c r="BK61" s="57" t="s">
        <v>1511</v>
      </c>
      <c r="BL61" s="57">
        <v>50</v>
      </c>
      <c r="BM61" s="58">
        <v>104.079167</v>
      </c>
      <c r="BN61" s="58">
        <f>IFERROR(Table6[[#This Row],[Redbook WAC price per tablet/capsule (Jan 2021)]]/Table6[[#This Row],[Redbook package strength (mg) (Jan 2021)]], "")</f>
        <v>2.0815833399999999</v>
      </c>
      <c r="BO61" s="57" t="s">
        <v>1741</v>
      </c>
      <c r="BP61" s="73" t="s">
        <v>1788</v>
      </c>
      <c r="BQ61" s="57" t="s">
        <v>1511</v>
      </c>
      <c r="BR61" s="57">
        <v>50</v>
      </c>
      <c r="BS61" s="58">
        <v>104.079167</v>
      </c>
      <c r="BT61" s="58">
        <f>IFERROR(Table6[[#This Row],[Redbook WAC price per tablet/capsule (Jul 2021)]]/Table6[[#This Row],[Redbook package strength (mg) (Jul 2021)]], "")</f>
        <v>2.0815833399999999</v>
      </c>
      <c r="BU61" s="57" t="s">
        <v>1741</v>
      </c>
      <c r="BV61" s="186" t="s">
        <v>1788</v>
      </c>
      <c r="BW61" s="158" t="s">
        <v>1511</v>
      </c>
      <c r="BX61" s="57">
        <v>50</v>
      </c>
      <c r="BY61" s="58">
        <v>119.69</v>
      </c>
      <c r="BZ61" s="58">
        <f>IFERROR(Table6[[#This Row],[Redbook WAC price per tablet/capsule (Jan 2022)]]/Table6[[#This Row],[Redbook package strength (mg) (Jan 2022)]], "")</f>
        <v>2.3938000000000001</v>
      </c>
      <c r="CA61" s="74" t="s">
        <v>1741</v>
      </c>
      <c r="CB61" s="57" t="s">
        <v>1788</v>
      </c>
      <c r="CC61" s="158" t="s">
        <v>1511</v>
      </c>
      <c r="CD61" s="57">
        <v>50</v>
      </c>
      <c r="CE61" s="58">
        <v>119.69110000000001</v>
      </c>
      <c r="CF61" s="58">
        <f>IFERROR(Table6[[#This Row],[Redbook WAC price per tablet/capsule (Jul 2022)]]/Table6[[#This Row],[Redbook package strength (mg) (Jul 2022)]], "")</f>
        <v>2.3938220000000001</v>
      </c>
      <c r="CG61" s="74" t="s">
        <v>1741</v>
      </c>
      <c r="CH61" s="57" t="s">
        <v>1788</v>
      </c>
      <c r="CI61" s="57" t="s">
        <v>1511</v>
      </c>
      <c r="CJ61" s="57">
        <v>50</v>
      </c>
      <c r="CK61" s="58">
        <v>119.69108333299999</v>
      </c>
      <c r="CL61" s="58">
        <f>IFERROR(Table6[[#This Row],[Redbook WAC price per tablet/capsule (Jan 2023)]]/Table6[[#This Row],[Redbook package strength (mg) (Jan 2023)]], "")</f>
        <v>2.3938216666600001</v>
      </c>
      <c r="CM61" s="57" t="s">
        <v>1741</v>
      </c>
    </row>
    <row r="62" spans="1:92" x14ac:dyDescent="0.3">
      <c r="A62" s="91" t="s">
        <v>130</v>
      </c>
      <c r="B62" s="57" t="s">
        <v>1884</v>
      </c>
      <c r="C62" s="57" t="s">
        <v>1883</v>
      </c>
      <c r="D62" s="57">
        <v>100</v>
      </c>
      <c r="E62" s="57">
        <v>307.806666667</v>
      </c>
      <c r="F62" s="57">
        <f>IFERROR(Table6[[#This Row],[Redbook WAC price per tablet/capsule (Jan 2016)]]/Table6[[#This Row],[Redbook package strength (mg) (Jan 2016)]], "")</f>
        <v>3.0780666666699998</v>
      </c>
      <c r="G62" s="74" t="s">
        <v>1741</v>
      </c>
      <c r="H62" s="57" t="s">
        <v>1884</v>
      </c>
      <c r="I62" s="57" t="s">
        <v>1883</v>
      </c>
      <c r="J62" s="57">
        <v>100</v>
      </c>
      <c r="K62" s="57">
        <v>345</v>
      </c>
      <c r="L62" s="57">
        <f>IFERROR(Table6[[#This Row],[Redbook WAC price per tablet/capsule (Jul 2016)]]/Table6[[#This Row],[Redbook package strength (mg) (Jul 2016)]], "")</f>
        <v>3.45</v>
      </c>
      <c r="M62" s="74" t="s">
        <v>1741</v>
      </c>
      <c r="N62" s="57" t="s">
        <v>1884</v>
      </c>
      <c r="O62" s="57" t="s">
        <v>1883</v>
      </c>
      <c r="P62" s="57">
        <v>100</v>
      </c>
      <c r="Q62" s="57">
        <v>431.2</v>
      </c>
      <c r="R62" s="57">
        <f>IFERROR(Table6[[#This Row],[Redbook WAC price per tablet/capsule (Jan 2017)]]/Table6[[#This Row],[Redbook package strength (mg) (Jan 2017)]], "")</f>
        <v>4.3120000000000003</v>
      </c>
      <c r="S62" s="74" t="s">
        <v>1741</v>
      </c>
      <c r="T62" s="57" t="s">
        <v>1884</v>
      </c>
      <c r="U62" s="57" t="s">
        <v>1883</v>
      </c>
      <c r="V62" s="57">
        <v>100</v>
      </c>
      <c r="W62" s="284">
        <f>(685.68/1.2)</f>
        <v>571.4</v>
      </c>
      <c r="X62" s="284">
        <f>IFERROR(Table6[[#This Row],[Redbook WAC price per tablet/capsule (Jul 2017)]]/Table6[[#This Row],[Redbook package strength (mg) (Jul 2017)]], "")</f>
        <v>5.7139999999999995</v>
      </c>
      <c r="Y62" s="57" t="s">
        <v>1741</v>
      </c>
      <c r="Z62" s="388" t="s">
        <v>1884</v>
      </c>
      <c r="AA62" s="389" t="s">
        <v>1883</v>
      </c>
      <c r="AB62" s="158">
        <v>100</v>
      </c>
      <c r="AC62" s="390">
        <v>767.98333333333335</v>
      </c>
      <c r="AD62" s="390">
        <f>Table6[[#This Row],[Redbook WAC price per tablet/capsule (Jan 2018)]]/Table6[[#This Row],[Redbook package strength (mg) (Jan 2018)]]</f>
        <v>7.6798333333333337</v>
      </c>
      <c r="AE62" s="391" t="s">
        <v>1741</v>
      </c>
      <c r="AF62" s="388" t="s">
        <v>1884</v>
      </c>
      <c r="AG62" s="389" t="s">
        <v>1883</v>
      </c>
      <c r="AH62" s="397">
        <v>100</v>
      </c>
      <c r="AI62" s="399">
        <v>921.58</v>
      </c>
      <c r="AJ62" s="399">
        <f>Table6[[#This Row],[Redbook WAC price per tablet/capsule (Jul 2018)]]/Table6[[#This Row],[Redbook package strength (mg) (Jul 2018)]]</f>
        <v>9.2157999999999998</v>
      </c>
      <c r="AK62" s="391" t="s">
        <v>1741</v>
      </c>
      <c r="AL62" s="57" t="s">
        <v>1884</v>
      </c>
      <c r="AM62" s="57" t="s">
        <v>1883</v>
      </c>
      <c r="AN62" s="57">
        <v>100</v>
      </c>
      <c r="AO62" s="58">
        <v>1004.52</v>
      </c>
      <c r="AP62" s="58">
        <f>IFERROR(Table6[[#This Row],[Redbook WAC price per tablet/capsule (Jan 2019)]]/Table6[[#This Row],[Redbook package strength (mg) (Jan 2019)]], "")</f>
        <v>10.045199999999999</v>
      </c>
      <c r="AQ62" s="74" t="s">
        <v>1741</v>
      </c>
      <c r="AR62" s="73" t="s">
        <v>1884</v>
      </c>
      <c r="AS62" s="57" t="s">
        <v>1883</v>
      </c>
      <c r="AT62" s="57">
        <v>100</v>
      </c>
      <c r="AU62" s="58">
        <v>1004.52</v>
      </c>
      <c r="AV62" s="58">
        <f>IFERROR(Table6[[#This Row],[Redbook WAC price per tablet/capsule (Jul 2019)]]/Table6[[#This Row],[Redbook package strength (mg) (Jul 2019)]], "")</f>
        <v>10.045199999999999</v>
      </c>
      <c r="AW62" s="74" t="s">
        <v>1741</v>
      </c>
      <c r="AX62" s="73" t="s">
        <v>1884</v>
      </c>
      <c r="AY62" s="57" t="s">
        <v>1883</v>
      </c>
      <c r="AZ62" s="57">
        <v>100</v>
      </c>
      <c r="BA62" s="59">
        <v>1004.52</v>
      </c>
      <c r="BB62" s="59">
        <f>IFERROR(Table6[[#This Row],[Redbook WAC price per tablet/capsule (Jan 2020)]]/Table6[[#This Row],[Redbook package strength (mg) (Jan 2020)]], "")</f>
        <v>10.045199999999999</v>
      </c>
      <c r="BC62" t="s">
        <v>1741</v>
      </c>
      <c r="BD62" s="73" t="s">
        <v>1884</v>
      </c>
      <c r="BE62" s="57" t="s">
        <v>1883</v>
      </c>
      <c r="BF62" s="57">
        <v>100</v>
      </c>
      <c r="BG62" s="58">
        <v>1004.52</v>
      </c>
      <c r="BH62" s="58">
        <f>IFERROR(Table6[[#This Row],[Redbook WAC price per tablet/capsule (Jul 2020)]]/Table6[[#This Row],[Redbook package strength (mg) (Jul 2020)]], "")</f>
        <v>10.045199999999999</v>
      </c>
      <c r="BI62" s="74" t="s">
        <v>1741</v>
      </c>
      <c r="BJ62" s="57" t="s">
        <v>1884</v>
      </c>
      <c r="BK62" s="57" t="s">
        <v>1883</v>
      </c>
      <c r="BL62" s="57">
        <v>100</v>
      </c>
      <c r="BM62" s="58">
        <v>1004.52</v>
      </c>
      <c r="BN62" s="58">
        <f>IFERROR(Table6[[#This Row],[Redbook WAC price per tablet/capsule (Jan 2021)]]/Table6[[#This Row],[Redbook package strength (mg) (Jan 2021)]], "")</f>
        <v>10.045199999999999</v>
      </c>
      <c r="BO62" s="57" t="s">
        <v>1741</v>
      </c>
      <c r="BP62" s="73" t="s">
        <v>1884</v>
      </c>
      <c r="BQ62" s="57" t="s">
        <v>1883</v>
      </c>
      <c r="BR62" s="57">
        <v>100</v>
      </c>
      <c r="BS62" s="58">
        <v>1004.52</v>
      </c>
      <c r="BT62" s="58">
        <f>IFERROR(Table6[[#This Row],[Redbook WAC price per tablet/capsule (Jul 2021)]]/Table6[[#This Row],[Redbook package strength (mg) (Jul 2021)]], "")</f>
        <v>10.045199999999999</v>
      </c>
      <c r="BU62" s="57" t="s">
        <v>1741</v>
      </c>
      <c r="BV62" s="186" t="s">
        <v>1884</v>
      </c>
      <c r="BW62" s="158" t="s">
        <v>1883</v>
      </c>
      <c r="BX62" s="57">
        <v>100</v>
      </c>
      <c r="BY62" s="58">
        <v>1004.52</v>
      </c>
      <c r="BZ62" s="58">
        <f>IFERROR(Table6[[#This Row],[Redbook WAC price per tablet/capsule (Jan 2022)]]/Table6[[#This Row],[Redbook package strength (mg) (Jan 2022)]], "")</f>
        <v>10.045199999999999</v>
      </c>
      <c r="CA62" s="74" t="s">
        <v>1741</v>
      </c>
      <c r="CB62" s="57" t="s">
        <v>1884</v>
      </c>
      <c r="CC62" s="158" t="s">
        <v>1883</v>
      </c>
      <c r="CD62" s="57">
        <v>100</v>
      </c>
      <c r="CE62" s="58">
        <v>1004.52</v>
      </c>
      <c r="CF62" s="58">
        <f>IFERROR(Table6[[#This Row],[Redbook WAC price per tablet/capsule (Jul 2022)]]/Table6[[#This Row],[Redbook package strength (mg) (Jul 2022)]], "")</f>
        <v>10.045199999999999</v>
      </c>
      <c r="CG62" s="74" t="s">
        <v>1741</v>
      </c>
      <c r="CH62" s="57" t="s">
        <v>1884</v>
      </c>
      <c r="CI62" s="57" t="s">
        <v>1883</v>
      </c>
      <c r="CJ62" s="57">
        <v>100</v>
      </c>
      <c r="CK62" s="58">
        <v>1074.8399999999999</v>
      </c>
      <c r="CL62" s="58">
        <f>IFERROR(Table6[[#This Row],[Redbook WAC price per tablet/capsule (Jan 2023)]]/Table6[[#This Row],[Redbook package strength (mg) (Jan 2023)]], "")</f>
        <v>10.748399999999998</v>
      </c>
      <c r="CM62" s="57" t="s">
        <v>1741</v>
      </c>
      <c r="CN62" t="s">
        <v>1882</v>
      </c>
    </row>
    <row r="63" spans="1:92" x14ac:dyDescent="0.3">
      <c r="A63" s="83" t="s">
        <v>133</v>
      </c>
      <c r="B63" s="57" t="s">
        <v>1789</v>
      </c>
      <c r="C63" s="57" t="s">
        <v>1512</v>
      </c>
      <c r="D63" s="57">
        <v>150</v>
      </c>
      <c r="E63" s="57">
        <v>335.38065833299999</v>
      </c>
      <c r="F63" s="57">
        <f>IFERROR(Table6[[#This Row],[Redbook WAC price per tablet/capsule (Jan 2016)]]/Table6[[#This Row],[Redbook package strength (mg) (Jan 2016)]], "")</f>
        <v>2.2358710555533334</v>
      </c>
      <c r="G63" s="74" t="s">
        <v>1741</v>
      </c>
      <c r="H63" s="57" t="s">
        <v>1789</v>
      </c>
      <c r="I63" s="57" t="s">
        <v>1512</v>
      </c>
      <c r="J63" s="57">
        <v>150</v>
      </c>
      <c r="K63" s="57">
        <v>352.1497</v>
      </c>
      <c r="L63" s="57">
        <f>IFERROR(Table6[[#This Row],[Redbook WAC price per tablet/capsule (Jul 2016)]]/Table6[[#This Row],[Redbook package strength (mg) (Jul 2016)]], "")</f>
        <v>2.3476646666666667</v>
      </c>
      <c r="M63" s="74" t="s">
        <v>1741</v>
      </c>
      <c r="N63" s="57" t="s">
        <v>1789</v>
      </c>
      <c r="O63" s="57" t="s">
        <v>1512</v>
      </c>
      <c r="P63" s="57">
        <v>150</v>
      </c>
      <c r="Q63" s="57">
        <v>366.23571666700002</v>
      </c>
      <c r="R63" s="57">
        <f>IFERROR(Table6[[#This Row],[Redbook WAC price per tablet/capsule (Jan 2017)]]/Table6[[#This Row],[Redbook package strength (mg) (Jan 2017)]], "")</f>
        <v>2.4415714444466667</v>
      </c>
      <c r="S63" s="74" t="s">
        <v>1741</v>
      </c>
      <c r="T63" s="57" t="s">
        <v>1789</v>
      </c>
      <c r="U63" s="57" t="s">
        <v>1512</v>
      </c>
      <c r="V63" s="57">
        <v>150</v>
      </c>
      <c r="W63" s="284">
        <f>(461.45714/1.2)</f>
        <v>384.54761666666667</v>
      </c>
      <c r="X63" s="284">
        <f>IFERROR(Table6[[#This Row],[Redbook WAC price per tablet/capsule (Jul 2017)]]/Table6[[#This Row],[Redbook package strength (mg) (Jul 2017)]], "")</f>
        <v>2.5636507777777777</v>
      </c>
      <c r="Y63" s="57" t="s">
        <v>1741</v>
      </c>
      <c r="Z63" s="388" t="s">
        <v>1789</v>
      </c>
      <c r="AA63" s="389" t="s">
        <v>1512</v>
      </c>
      <c r="AB63" s="158">
        <v>150</v>
      </c>
      <c r="AC63" s="390">
        <v>384.54761666666667</v>
      </c>
      <c r="AD63" s="390">
        <f>Table6[[#This Row],[Redbook WAC price per tablet/capsule (Jan 2018)]]/Table6[[#This Row],[Redbook package strength (mg) (Jan 2018)]]</f>
        <v>2.5636507777777777</v>
      </c>
      <c r="AE63" s="391" t="s">
        <v>1741</v>
      </c>
      <c r="AF63" s="388" t="s">
        <v>1789</v>
      </c>
      <c r="AG63" s="389" t="s">
        <v>1512</v>
      </c>
      <c r="AH63" s="397">
        <v>150</v>
      </c>
      <c r="AI63" s="399">
        <v>384.54761666666667</v>
      </c>
      <c r="AJ63" s="399">
        <f>Table6[[#This Row],[Redbook WAC price per tablet/capsule (Jul 2018)]]/Table6[[#This Row],[Redbook package strength (mg) (Jul 2018)]]</f>
        <v>2.5636507777777777</v>
      </c>
      <c r="AK63" s="391" t="s">
        <v>1741</v>
      </c>
      <c r="AL63" s="57" t="s">
        <v>1789</v>
      </c>
      <c r="AM63" s="57" t="s">
        <v>1512</v>
      </c>
      <c r="AN63" s="57">
        <v>150</v>
      </c>
      <c r="AO63" s="58">
        <v>384.54750000000001</v>
      </c>
      <c r="AP63" s="58">
        <f>IFERROR(Table6[[#This Row],[Redbook WAC price per tablet/capsule (Jan 2019)]]/Table6[[#This Row],[Redbook package strength (mg) (Jan 2019)]], "")</f>
        <v>2.56365</v>
      </c>
      <c r="AQ63" s="74" t="s">
        <v>1741</v>
      </c>
      <c r="AR63" s="73" t="s">
        <v>1789</v>
      </c>
      <c r="AS63" s="57" t="s">
        <v>1512</v>
      </c>
      <c r="AT63" s="57">
        <v>150</v>
      </c>
      <c r="AU63" s="58">
        <v>396.08390000000003</v>
      </c>
      <c r="AV63" s="58">
        <f>IFERROR(Table6[[#This Row],[Redbook WAC price per tablet/capsule (Jul 2019)]]/Table6[[#This Row],[Redbook package strength (mg) (Jul 2019)]], "")</f>
        <v>2.6405593333333335</v>
      </c>
      <c r="AW63" s="74" t="s">
        <v>1741</v>
      </c>
      <c r="AX63" s="73" t="s">
        <v>1789</v>
      </c>
      <c r="AY63" s="57" t="s">
        <v>1512</v>
      </c>
      <c r="AZ63" s="57">
        <v>150</v>
      </c>
      <c r="BA63" s="59">
        <v>407.96640000000002</v>
      </c>
      <c r="BB63" s="59">
        <f>IFERROR(Table6[[#This Row],[Redbook WAC price per tablet/capsule (Jan 2020)]]/Table6[[#This Row],[Redbook package strength (mg) (Jan 2020)]], "")</f>
        <v>2.719776</v>
      </c>
      <c r="BC63" t="s">
        <v>1741</v>
      </c>
      <c r="BD63" s="73" t="s">
        <v>1789</v>
      </c>
      <c r="BE63" s="57" t="s">
        <v>1512</v>
      </c>
      <c r="BF63" s="57">
        <v>150</v>
      </c>
      <c r="BG63" s="58">
        <v>407.96640000000002</v>
      </c>
      <c r="BH63" s="58">
        <f>IFERROR(Table6[[#This Row],[Redbook WAC price per tablet/capsule (Jul 2020)]]/Table6[[#This Row],[Redbook package strength (mg) (Jul 2020)]], "")</f>
        <v>2.719776</v>
      </c>
      <c r="BI63" s="74" t="s">
        <v>1741</v>
      </c>
      <c r="BJ63" s="57" t="s">
        <v>1789</v>
      </c>
      <c r="BK63" s="57" t="s">
        <v>1512</v>
      </c>
      <c r="BL63" s="57">
        <v>150</v>
      </c>
      <c r="BM63" s="58">
        <v>420.20535999999998</v>
      </c>
      <c r="BN63" s="58">
        <f>IFERROR(Table6[[#This Row],[Redbook WAC price per tablet/capsule (Jan 2021)]]/Table6[[#This Row],[Redbook package strength (mg) (Jan 2021)]], "")</f>
        <v>2.8013690666666666</v>
      </c>
      <c r="BO63" s="57" t="s">
        <v>1741</v>
      </c>
      <c r="BP63" s="73" t="s">
        <v>1789</v>
      </c>
      <c r="BQ63" s="57" t="s">
        <v>1512</v>
      </c>
      <c r="BR63" s="57">
        <v>150</v>
      </c>
      <c r="BS63" s="58">
        <v>420.20535999999998</v>
      </c>
      <c r="BT63" s="58">
        <f>IFERROR(Table6[[#This Row],[Redbook WAC price per tablet/capsule (Jul 2021)]]/Table6[[#This Row],[Redbook package strength (mg) (Jul 2021)]], "")</f>
        <v>2.8013690666666666</v>
      </c>
      <c r="BU63" s="57" t="s">
        <v>1741</v>
      </c>
      <c r="BV63" s="186" t="s">
        <v>1789</v>
      </c>
      <c r="BW63" s="158" t="s">
        <v>1512</v>
      </c>
      <c r="BX63" s="57">
        <v>150</v>
      </c>
      <c r="BY63" s="58">
        <v>432.81</v>
      </c>
      <c r="BZ63" s="58">
        <f>IFERROR(Table6[[#This Row],[Redbook WAC price per tablet/capsule (Jan 2022)]]/Table6[[#This Row],[Redbook package strength (mg) (Jan 2022)]], "")</f>
        <v>2.8854000000000002</v>
      </c>
      <c r="CA63" s="74" t="s">
        <v>1741</v>
      </c>
      <c r="CB63" s="57" t="s">
        <v>1789</v>
      </c>
      <c r="CC63" s="158" t="s">
        <v>1512</v>
      </c>
      <c r="CD63" s="57">
        <v>150</v>
      </c>
      <c r="CE63" s="58">
        <v>441.46749999999997</v>
      </c>
      <c r="CF63" s="247">
        <f>IFERROR(Table6[[#This Row],[Redbook WAC price per tablet/capsule (Jul 2022)]]/Table6[[#This Row],[Redbook package strength (mg) (Jul 2022)]], "")</f>
        <v>2.9431166666666666</v>
      </c>
      <c r="CG63" s="74" t="s">
        <v>1741</v>
      </c>
      <c r="CH63" s="57" t="s">
        <v>1789</v>
      </c>
      <c r="CI63" s="57" t="s">
        <v>1512</v>
      </c>
      <c r="CJ63" s="57">
        <v>150</v>
      </c>
      <c r="CK63" s="58">
        <v>463.54070999999999</v>
      </c>
      <c r="CL63" s="58">
        <f>IFERROR(Table6[[#This Row],[Redbook WAC price per tablet/capsule (Jan 2023)]]/Table6[[#This Row],[Redbook package strength (mg) (Jan 2023)]], "")</f>
        <v>3.0902713999999998</v>
      </c>
      <c r="CM63" s="57" t="s">
        <v>1741</v>
      </c>
    </row>
    <row r="64" spans="1:92" x14ac:dyDescent="0.3">
      <c r="A64" s="85" t="s">
        <v>138</v>
      </c>
      <c r="B64" s="57"/>
      <c r="C64" s="57"/>
      <c r="D64" s="57"/>
      <c r="E64" s="57"/>
      <c r="F64" s="57" t="str">
        <f>IFERROR(Table6[[#This Row],[Redbook WAC price per tablet/capsule (Jan 2016)]]/Table6[[#This Row],[Redbook package strength (mg) (Jan 2016)]], "")</f>
        <v/>
      </c>
      <c r="G64" s="74"/>
      <c r="H64" s="57"/>
      <c r="I64" s="57"/>
      <c r="J64" s="57"/>
      <c r="K64" s="57"/>
      <c r="L64" s="57" t="str">
        <f>IFERROR(Table6[[#This Row],[Redbook WAC price per tablet/capsule (Jul 2016)]]/Table6[[#This Row],[Redbook package strength (mg) (Jul 2016)]], "")</f>
        <v/>
      </c>
      <c r="M64" s="74"/>
      <c r="N64" s="57" t="s">
        <v>1803</v>
      </c>
      <c r="O64" s="57" t="s">
        <v>1513</v>
      </c>
      <c r="P64" s="57">
        <v>300</v>
      </c>
      <c r="Q64" s="57">
        <v>114.5</v>
      </c>
      <c r="R64" s="57">
        <f>IFERROR(Table6[[#This Row],[Redbook WAC price per tablet/capsule (Jan 2017)]]/Table6[[#This Row],[Redbook package strength (mg) (Jan 2017)]], "")</f>
        <v>0.38166666666666665</v>
      </c>
      <c r="S64" s="74" t="s">
        <v>1741</v>
      </c>
      <c r="T64" s="57" t="s">
        <v>1803</v>
      </c>
      <c r="U64" s="57" t="s">
        <v>1513</v>
      </c>
      <c r="V64" s="57">
        <v>300</v>
      </c>
      <c r="W64" s="284">
        <f>(137.4/1.2)</f>
        <v>114.50000000000001</v>
      </c>
      <c r="X64" s="284">
        <f>IFERROR(Table6[[#This Row],[Redbook WAC price per tablet/capsule (Jul 2017)]]/Table6[[#This Row],[Redbook package strength (mg) (Jul 2017)]], "")</f>
        <v>0.38166666666666671</v>
      </c>
      <c r="Y64" s="57" t="s">
        <v>1741</v>
      </c>
      <c r="Z64" s="388" t="s">
        <v>1803</v>
      </c>
      <c r="AA64" s="389" t="s">
        <v>1513</v>
      </c>
      <c r="AB64" s="158">
        <v>300</v>
      </c>
      <c r="AC64" s="390">
        <v>114.50000000000001</v>
      </c>
      <c r="AD64" s="390">
        <f>Table6[[#This Row],[Redbook WAC price per tablet/capsule (Jan 2018)]]/Table6[[#This Row],[Redbook package strength (mg) (Jan 2018)]]</f>
        <v>0.38166666666666671</v>
      </c>
      <c r="AE64" s="391" t="s">
        <v>1741</v>
      </c>
      <c r="AF64" s="388" t="s">
        <v>1803</v>
      </c>
      <c r="AG64" s="389" t="s">
        <v>1513</v>
      </c>
      <c r="AH64" s="397">
        <v>300</v>
      </c>
      <c r="AI64" s="399">
        <v>122.51666666666668</v>
      </c>
      <c r="AJ64" s="399">
        <f>Table6[[#This Row],[Redbook WAC price per tablet/capsule (Jul 2018)]]/Table6[[#This Row],[Redbook package strength (mg) (Jul 2018)]]</f>
        <v>0.40838888888888891</v>
      </c>
      <c r="AK64" s="391" t="s">
        <v>1741</v>
      </c>
      <c r="AL64" s="57" t="s">
        <v>1803</v>
      </c>
      <c r="AM64" s="57" t="s">
        <v>1513</v>
      </c>
      <c r="AN64" s="57">
        <v>300</v>
      </c>
      <c r="AO64" s="58">
        <v>122.5167</v>
      </c>
      <c r="AP64" s="58">
        <f>IFERROR(Table6[[#This Row],[Redbook WAC price per tablet/capsule (Jan 2019)]]/Table6[[#This Row],[Redbook package strength (mg) (Jan 2019)]], "")</f>
        <v>0.408389</v>
      </c>
      <c r="AQ64" s="74" t="s">
        <v>1741</v>
      </c>
      <c r="AR64" s="73" t="s">
        <v>1803</v>
      </c>
      <c r="AS64" s="57" t="s">
        <v>1513</v>
      </c>
      <c r="AT64" s="57">
        <v>300</v>
      </c>
      <c r="AU64" s="58">
        <v>132.6833</v>
      </c>
      <c r="AV64" s="58">
        <f>IFERROR(Table6[[#This Row],[Redbook WAC price per tablet/capsule (Jul 2019)]]/Table6[[#This Row],[Redbook package strength (mg) (Jul 2019)]], "")</f>
        <v>0.44227766666666668</v>
      </c>
      <c r="AW64" s="74" t="s">
        <v>1741</v>
      </c>
      <c r="AX64" s="73" t="s">
        <v>1803</v>
      </c>
      <c r="AY64" s="57" t="s">
        <v>1513</v>
      </c>
      <c r="AZ64" s="57">
        <v>300</v>
      </c>
      <c r="BA64" s="59">
        <v>132.6833</v>
      </c>
      <c r="BB64" s="59">
        <f>IFERROR(Table6[[#This Row],[Redbook WAC price per tablet/capsule (Jan 2020)]]/Table6[[#This Row],[Redbook package strength (mg) (Jan 2020)]], "")</f>
        <v>0.44227766666666668</v>
      </c>
      <c r="BC64" t="s">
        <v>1741</v>
      </c>
      <c r="BD64" s="73" t="s">
        <v>1803</v>
      </c>
      <c r="BE64" s="57" t="s">
        <v>1513</v>
      </c>
      <c r="BF64" s="57">
        <v>300</v>
      </c>
      <c r="BG64" s="58">
        <v>139.19329999999999</v>
      </c>
      <c r="BH64" s="58">
        <f>IFERROR(Table6[[#This Row],[Redbook WAC price per tablet/capsule (Jul 2020)]]/Table6[[#This Row],[Redbook package strength (mg) (Jul 2020)]], "")</f>
        <v>0.46397766666666662</v>
      </c>
      <c r="BI64" s="74" t="s">
        <v>1741</v>
      </c>
      <c r="BJ64" s="57" t="s">
        <v>1803</v>
      </c>
      <c r="BK64" s="57" t="s">
        <v>1513</v>
      </c>
      <c r="BL64" s="57">
        <v>300</v>
      </c>
      <c r="BM64" s="58">
        <v>139.19329999999999</v>
      </c>
      <c r="BN64" s="58">
        <f>IFERROR(Table6[[#This Row],[Redbook WAC price per tablet/capsule (Jan 2021)]]/Table6[[#This Row],[Redbook package strength (mg) (Jan 2021)]], "")</f>
        <v>0.46397766666666662</v>
      </c>
      <c r="BO64" s="57" t="s">
        <v>1741</v>
      </c>
      <c r="BP64" s="73" t="s">
        <v>1803</v>
      </c>
      <c r="BQ64" s="57" t="s">
        <v>1513</v>
      </c>
      <c r="BR64" s="57">
        <v>300</v>
      </c>
      <c r="BS64" s="58">
        <v>144.75</v>
      </c>
      <c r="BT64" s="58">
        <f>IFERROR(Table6[[#This Row],[Redbook WAC price per tablet/capsule (Jul 2021)]]/Table6[[#This Row],[Redbook package strength (mg) (Jul 2021)]], "")</f>
        <v>0.48249999999999998</v>
      </c>
      <c r="BU64" s="57" t="s">
        <v>1741</v>
      </c>
      <c r="BV64" s="186" t="s">
        <v>1803</v>
      </c>
      <c r="BW64" s="158" t="s">
        <v>1513</v>
      </c>
      <c r="BX64" s="57">
        <v>300</v>
      </c>
      <c r="BY64" s="58">
        <v>144.75</v>
      </c>
      <c r="BZ64" s="58">
        <f>IFERROR(Table6[[#This Row],[Redbook WAC price per tablet/capsule (Jan 2022)]]/Table6[[#This Row],[Redbook package strength (mg) (Jan 2022)]], "")</f>
        <v>0.48249999999999998</v>
      </c>
      <c r="CA64" s="74" t="s">
        <v>1741</v>
      </c>
      <c r="CB64" s="57" t="s">
        <v>1803</v>
      </c>
      <c r="CC64" s="158" t="s">
        <v>1513</v>
      </c>
      <c r="CD64" s="57">
        <v>300</v>
      </c>
      <c r="CE64" s="58">
        <v>144.75</v>
      </c>
      <c r="CF64" s="58">
        <f>IFERROR(Table6[[#This Row],[Redbook WAC price per tablet/capsule (Jul 2022)]]/Table6[[#This Row],[Redbook package strength (mg) (Jul 2022)]], "")</f>
        <v>0.48249999999999998</v>
      </c>
      <c r="CG64" s="74" t="s">
        <v>1741</v>
      </c>
      <c r="CH64" s="57" t="s">
        <v>1803</v>
      </c>
      <c r="CI64" s="57" t="s">
        <v>1513</v>
      </c>
      <c r="CJ64" s="57">
        <v>300</v>
      </c>
      <c r="CK64" s="58">
        <v>144.75</v>
      </c>
      <c r="CL64" s="58">
        <f>IFERROR(Table6[[#This Row],[Redbook WAC price per tablet/capsule (Jan 2023)]]/Table6[[#This Row],[Redbook package strength (mg) (Jan 2023)]], "")</f>
        <v>0.48249999999999998</v>
      </c>
      <c r="CM64" s="57" t="s">
        <v>1741</v>
      </c>
    </row>
    <row r="65" spans="1:92" x14ac:dyDescent="0.3">
      <c r="A65" s="83" t="s">
        <v>139</v>
      </c>
      <c r="B65" s="342"/>
      <c r="C65" s="57"/>
      <c r="D65" s="57"/>
      <c r="E65" s="57"/>
      <c r="F65" s="57"/>
      <c r="G65" s="74"/>
      <c r="H65" s="57"/>
      <c r="I65" s="57"/>
      <c r="J65" s="57"/>
      <c r="K65" s="57"/>
      <c r="L65" s="57" t="str">
        <f>IFERROR(Table6[[#This Row],[Redbook WAC price per tablet/capsule (Jul 2016)]]/Table6[[#This Row],[Redbook package strength (mg) (Jul 2016)]], "")</f>
        <v/>
      </c>
      <c r="M65" s="74"/>
      <c r="N65" s="342" t="s">
        <v>2689</v>
      </c>
      <c r="O65" s="57" t="s">
        <v>1514</v>
      </c>
      <c r="P65" s="57">
        <v>100</v>
      </c>
      <c r="Q65" s="57">
        <v>163.888891667</v>
      </c>
      <c r="R65" s="57">
        <f>IFERROR(Table6[[#This Row],[Redbook WAC price per tablet/capsule (Jan 2017)]]/Table6[[#This Row],[Redbook package strength (mg) (Jan 2017)]], "")</f>
        <v>1.63888891667</v>
      </c>
      <c r="S65" s="74" t="s">
        <v>1741</v>
      </c>
      <c r="T65" s="342" t="s">
        <v>1793</v>
      </c>
      <c r="U65" s="57" t="s">
        <v>1514</v>
      </c>
      <c r="V65" s="57">
        <v>100</v>
      </c>
      <c r="W65" s="284">
        <v>163.888891667</v>
      </c>
      <c r="X65" s="284">
        <f>IFERROR(Table6[[#This Row],[Redbook WAC price per tablet/capsule (Jul 2017)]]/Table6[[#This Row],[Redbook package strength (mg) (Jul 2017)]], "")</f>
        <v>1.63888891667</v>
      </c>
      <c r="Y65" s="57" t="s">
        <v>1741</v>
      </c>
      <c r="Z65" s="388" t="s">
        <v>2689</v>
      </c>
      <c r="AA65" s="389" t="s">
        <v>1514</v>
      </c>
      <c r="AB65" s="158">
        <v>100</v>
      </c>
      <c r="AC65" s="390">
        <v>177</v>
      </c>
      <c r="AD65" s="390">
        <f>Table6[[#This Row],[Redbook WAC price per tablet/capsule (Jan 2018)]]/Table6[[#This Row],[Redbook package strength (mg) (Jan 2018)]]</f>
        <v>1.77</v>
      </c>
      <c r="AE65" s="391" t="s">
        <v>1741</v>
      </c>
      <c r="AF65" s="388" t="s">
        <v>2689</v>
      </c>
      <c r="AG65" s="389" t="s">
        <v>1514</v>
      </c>
      <c r="AH65" s="397">
        <v>100</v>
      </c>
      <c r="AI65" s="399">
        <v>212.4</v>
      </c>
      <c r="AJ65" s="399">
        <f>Table6[[#This Row],[Redbook WAC price per tablet/capsule (Jul 2018)]]/Table6[[#This Row],[Redbook package strength (mg) (Jul 2018)]]</f>
        <v>2.1240000000000001</v>
      </c>
      <c r="AK65" s="391" t="s">
        <v>1741</v>
      </c>
      <c r="AL65" s="57" t="s">
        <v>1793</v>
      </c>
      <c r="AM65" s="57" t="s">
        <v>1514</v>
      </c>
      <c r="AN65" s="57">
        <v>100</v>
      </c>
      <c r="AO65" s="58">
        <v>219.4667</v>
      </c>
      <c r="AP65" s="58">
        <f>IFERROR(Table6[[#This Row],[Redbook WAC price per tablet/capsule (Jan 2019)]]/Table6[[#This Row],[Redbook package strength (mg) (Jan 2019)]], "")</f>
        <v>2.1946669999999999</v>
      </c>
      <c r="AQ65" s="74" t="s">
        <v>1741</v>
      </c>
      <c r="AR65" s="73" t="s">
        <v>1793</v>
      </c>
      <c r="AS65" s="57" t="s">
        <v>1514</v>
      </c>
      <c r="AT65" s="57">
        <v>100</v>
      </c>
      <c r="AU65" s="58">
        <v>230.44</v>
      </c>
      <c r="AV65" s="58">
        <f>IFERROR(Table6[[#This Row],[Redbook WAC price per tablet/capsule (Jul 2019)]]/Table6[[#This Row],[Redbook package strength (mg) (Jul 2019)]], "")</f>
        <v>2.3043999999999998</v>
      </c>
      <c r="AW65" s="74" t="s">
        <v>1741</v>
      </c>
      <c r="AX65" s="73" t="s">
        <v>1793</v>
      </c>
      <c r="AY65" s="57" t="s">
        <v>1514</v>
      </c>
      <c r="AZ65" s="57">
        <v>100</v>
      </c>
      <c r="BA65" s="59">
        <v>241.96199999999999</v>
      </c>
      <c r="BB65" s="59">
        <f>IFERROR(Table6[[#This Row],[Redbook WAC price per tablet/capsule (Jan 2020)]]/Table6[[#This Row],[Redbook package strength (mg) (Jan 2020)]], "")</f>
        <v>2.4196200000000001</v>
      </c>
      <c r="BC65" t="s">
        <v>1741</v>
      </c>
      <c r="BD65" s="73" t="s">
        <v>1793</v>
      </c>
      <c r="BE65" s="57" t="s">
        <v>1514</v>
      </c>
      <c r="BF65" s="57">
        <v>100</v>
      </c>
      <c r="BG65" s="58">
        <v>241.96199999999999</v>
      </c>
      <c r="BH65" s="58">
        <f>IFERROR(Table6[[#This Row],[Redbook WAC price per tablet/capsule (Jul 2020)]]/Table6[[#This Row],[Redbook package strength (mg) (Jul 2020)]], "")</f>
        <v>2.4196200000000001</v>
      </c>
      <c r="BI65" s="74" t="s">
        <v>1741</v>
      </c>
      <c r="BJ65" s="57" t="s">
        <v>1793</v>
      </c>
      <c r="BK65" s="57" t="s">
        <v>1514</v>
      </c>
      <c r="BL65" s="57">
        <v>100</v>
      </c>
      <c r="BM65" s="58">
        <v>254.06</v>
      </c>
      <c r="BN65" s="58">
        <f>IFERROR(Table6[[#This Row],[Redbook WAC price per tablet/capsule (Jan 2021)]]/Table6[[#This Row],[Redbook package strength (mg) (Jan 2021)]], "")</f>
        <v>2.5406</v>
      </c>
      <c r="BO65" s="57" t="s">
        <v>1741</v>
      </c>
      <c r="BP65" s="73" t="s">
        <v>1793</v>
      </c>
      <c r="BQ65" s="57" t="s">
        <v>1514</v>
      </c>
      <c r="BR65" s="57">
        <v>100</v>
      </c>
      <c r="BS65" s="58">
        <v>254.06</v>
      </c>
      <c r="BT65" s="58">
        <f>IFERROR(Table6[[#This Row],[Redbook WAC price per tablet/capsule (Jul 2021)]]/Table6[[#This Row],[Redbook package strength (mg) (Jul 2021)]], "")</f>
        <v>2.5406</v>
      </c>
      <c r="BU65" s="57" t="s">
        <v>1741</v>
      </c>
      <c r="BV65" s="186" t="s">
        <v>1793</v>
      </c>
      <c r="BW65" s="158" t="s">
        <v>1514</v>
      </c>
      <c r="BX65" s="57">
        <v>100</v>
      </c>
      <c r="BY65" s="58">
        <v>271.84433000000001</v>
      </c>
      <c r="BZ65" s="58">
        <f>IFERROR(Table6[[#This Row],[Redbook WAC price per tablet/capsule (Jan 2022)]]/Table6[[#This Row],[Redbook package strength (mg) (Jan 2022)]], "")</f>
        <v>2.7184433000000001</v>
      </c>
      <c r="CA65" s="74" t="s">
        <v>1741</v>
      </c>
      <c r="CB65" s="57" t="s">
        <v>1793</v>
      </c>
      <c r="CC65" s="158" t="s">
        <v>1514</v>
      </c>
      <c r="CD65" s="57">
        <v>100</v>
      </c>
      <c r="CE65" s="58">
        <v>271.84433000000001</v>
      </c>
      <c r="CF65" s="58">
        <f>IFERROR(Table6[[#This Row],[Redbook WAC price per tablet/capsule (Jul 2022)]]/Table6[[#This Row],[Redbook package strength (mg) (Jul 2022)]], "")</f>
        <v>2.7184433000000001</v>
      </c>
      <c r="CG65" s="74" t="s">
        <v>1741</v>
      </c>
      <c r="CH65" s="57" t="s">
        <v>1793</v>
      </c>
      <c r="CI65" s="57" t="s">
        <v>1514</v>
      </c>
      <c r="CJ65" s="57">
        <v>100</v>
      </c>
      <c r="CK65" s="58">
        <v>288.15499999999997</v>
      </c>
      <c r="CL65" s="58">
        <f>IFERROR(Table6[[#This Row],[Redbook WAC price per tablet/capsule (Jan 2023)]]/Table6[[#This Row],[Redbook package strength (mg) (Jan 2023)]], "")</f>
        <v>2.8815499999999998</v>
      </c>
      <c r="CM65" s="57" t="s">
        <v>1741</v>
      </c>
    </row>
    <row r="66" spans="1:92" x14ac:dyDescent="0.3">
      <c r="A66" s="85" t="s">
        <v>145</v>
      </c>
      <c r="B66" s="57" t="s">
        <v>2061</v>
      </c>
      <c r="C66" s="57" t="s">
        <v>1893</v>
      </c>
      <c r="D66" s="57">
        <v>10</v>
      </c>
      <c r="E66" s="57">
        <v>24.901333333299998</v>
      </c>
      <c r="F66" s="57">
        <f>IFERROR(Table6[[#This Row],[Redbook WAC price per tablet/capsule (Jan 2016)]]/Table6[[#This Row],[Redbook package strength (mg) (Jan 2016)]], "")</f>
        <v>2.4901333333299998</v>
      </c>
      <c r="G66" s="74" t="s">
        <v>1741</v>
      </c>
      <c r="H66" s="57" t="s">
        <v>1898</v>
      </c>
      <c r="I66" s="57" t="s">
        <v>1893</v>
      </c>
      <c r="J66" s="57">
        <v>10</v>
      </c>
      <c r="K66" s="57">
        <v>26.8935</v>
      </c>
      <c r="L66" s="57">
        <f>IFERROR(Table6[[#This Row],[Redbook WAC price per tablet/capsule (Jul 2016)]]/Table6[[#This Row],[Redbook package strength (mg) (Jul 2016)]], "")</f>
        <v>2.6893500000000001</v>
      </c>
      <c r="M66" s="74" t="s">
        <v>1741</v>
      </c>
      <c r="N66" s="57" t="s">
        <v>1898</v>
      </c>
      <c r="O66" s="57" t="s">
        <v>1893</v>
      </c>
      <c r="P66" s="57">
        <v>10</v>
      </c>
      <c r="Q66" s="57">
        <v>26.8935</v>
      </c>
      <c r="R66" s="57">
        <f>IFERROR(Table6[[#This Row],[Redbook WAC price per tablet/capsule (Jan 2017)]]/Table6[[#This Row],[Redbook package strength (mg) (Jan 2017)]], "")</f>
        <v>2.6893500000000001</v>
      </c>
      <c r="S66" s="74" t="s">
        <v>1741</v>
      </c>
      <c r="T66" s="57" t="s">
        <v>1898</v>
      </c>
      <c r="U66" s="57" t="s">
        <v>1893</v>
      </c>
      <c r="V66" s="57">
        <v>10</v>
      </c>
      <c r="W66" s="284">
        <v>26.8935</v>
      </c>
      <c r="X66" s="284">
        <f>IFERROR(Table6[[#This Row],[Redbook WAC price per tablet/capsule (Jul 2017)]]/Table6[[#This Row],[Redbook package strength (mg) (Jul 2017)]], "")</f>
        <v>2.6893500000000001</v>
      </c>
      <c r="Y66" s="57" t="s">
        <v>1741</v>
      </c>
      <c r="Z66" s="388" t="s">
        <v>1898</v>
      </c>
      <c r="AA66" s="389" t="s">
        <v>1893</v>
      </c>
      <c r="AB66" s="158">
        <v>10</v>
      </c>
      <c r="AC66" s="390">
        <v>26.8935</v>
      </c>
      <c r="AD66" s="390">
        <f>Table6[[#This Row],[Redbook WAC price per tablet/capsule (Jan 2018)]]/Table6[[#This Row],[Redbook package strength (mg) (Jan 2018)]]</f>
        <v>2.6893500000000001</v>
      </c>
      <c r="AE66" s="391" t="s">
        <v>1741</v>
      </c>
      <c r="AF66" s="388" t="s">
        <v>1898</v>
      </c>
      <c r="AG66" s="389" t="s">
        <v>1893</v>
      </c>
      <c r="AH66" s="397">
        <v>10</v>
      </c>
      <c r="AI66" s="399">
        <v>26.8935</v>
      </c>
      <c r="AJ66" s="399">
        <f>Table6[[#This Row],[Redbook WAC price per tablet/capsule (Jul 2018)]]/Table6[[#This Row],[Redbook package strength (mg) (Jul 2018)]]</f>
        <v>2.6893500000000001</v>
      </c>
      <c r="AK66" s="391" t="s">
        <v>1741</v>
      </c>
      <c r="AL66" s="57" t="s">
        <v>1898</v>
      </c>
      <c r="AM66" s="57" t="s">
        <v>1893</v>
      </c>
      <c r="AN66" s="57">
        <v>10</v>
      </c>
      <c r="AO66" s="58">
        <v>26.8935</v>
      </c>
      <c r="AP66" s="58">
        <f>IFERROR(Table6[[#This Row],[Redbook WAC price per tablet/capsule (Jan 2019)]]/Table6[[#This Row],[Redbook package strength (mg) (Jan 2019)]], "")</f>
        <v>2.6893500000000001</v>
      </c>
      <c r="AQ66" s="74" t="s">
        <v>1741</v>
      </c>
      <c r="AR66" s="73" t="s">
        <v>1898</v>
      </c>
      <c r="AS66" s="57" t="s">
        <v>1893</v>
      </c>
      <c r="AT66" s="57">
        <v>10</v>
      </c>
      <c r="AU66" s="58">
        <v>26.8935</v>
      </c>
      <c r="AV66" s="58">
        <f>IFERROR(Table6[[#This Row],[Redbook WAC price per tablet/capsule (Jul 2019)]]/Table6[[#This Row],[Redbook package strength (mg) (Jul 2019)]], "")</f>
        <v>2.6893500000000001</v>
      </c>
      <c r="AW66" s="74" t="s">
        <v>1741</v>
      </c>
      <c r="AX66" s="73" t="s">
        <v>1898</v>
      </c>
      <c r="AY66" s="57" t="s">
        <v>1893</v>
      </c>
      <c r="AZ66" s="57">
        <v>10</v>
      </c>
      <c r="BA66" s="59">
        <v>26.8935</v>
      </c>
      <c r="BB66" s="59">
        <f>IFERROR(Table6[[#This Row],[Redbook WAC price per tablet/capsule (Jan 2020)]]/Table6[[#This Row],[Redbook package strength (mg) (Jan 2020)]], "")</f>
        <v>2.6893500000000001</v>
      </c>
      <c r="BC66" t="s">
        <v>1741</v>
      </c>
      <c r="BD66" s="73" t="s">
        <v>1898</v>
      </c>
      <c r="BE66" s="57" t="s">
        <v>1893</v>
      </c>
      <c r="BF66" s="57">
        <v>10</v>
      </c>
      <c r="BG66" s="58">
        <v>26.8935</v>
      </c>
      <c r="BH66" s="58">
        <f>IFERROR(Table6[[#This Row],[Redbook WAC price per tablet/capsule (Jul 2020)]]/Table6[[#This Row],[Redbook package strength (mg) (Jul 2020)]], "")</f>
        <v>2.6893500000000001</v>
      </c>
      <c r="BI66" s="74" t="s">
        <v>1741</v>
      </c>
      <c r="BJ66" s="57" t="s">
        <v>2061</v>
      </c>
      <c r="BK66" s="57" t="s">
        <v>1893</v>
      </c>
      <c r="BL66" s="57">
        <v>10</v>
      </c>
      <c r="BM66" s="58">
        <v>26.8935</v>
      </c>
      <c r="BN66" s="58">
        <f>IFERROR(Table6[[#This Row],[Redbook WAC price per tablet/capsule (Jan 2021)]]/Table6[[#This Row],[Redbook package strength (mg) (Jan 2021)]], "")</f>
        <v>2.6893500000000001</v>
      </c>
      <c r="BO66" s="57" t="s">
        <v>1741</v>
      </c>
      <c r="BP66" s="73" t="s">
        <v>1898</v>
      </c>
      <c r="BQ66" s="57" t="s">
        <v>1893</v>
      </c>
      <c r="BR66" s="57">
        <v>10</v>
      </c>
      <c r="BS66" s="58">
        <v>26.8935</v>
      </c>
      <c r="BT66" s="58">
        <f>IFERROR(Table6[[#This Row],[Redbook WAC price per tablet/capsule (Jul 2021)]]/Table6[[#This Row],[Redbook package strength (mg) (Jul 2021)]], "")</f>
        <v>2.6893500000000001</v>
      </c>
      <c r="BU66" s="57" t="s">
        <v>1741</v>
      </c>
      <c r="BV66" s="186" t="s">
        <v>2074</v>
      </c>
      <c r="BW66" s="158" t="s">
        <v>1893</v>
      </c>
      <c r="BX66" s="57">
        <v>10</v>
      </c>
      <c r="BY66" s="58">
        <v>26.8935</v>
      </c>
      <c r="BZ66" s="58">
        <f>IFERROR(Table6[[#This Row],[Redbook WAC price per tablet/capsule (Jan 2022)]]/Table6[[#This Row],[Redbook package strength (mg) (Jan 2022)]], "")</f>
        <v>2.6893500000000001</v>
      </c>
      <c r="CA66" s="74" t="s">
        <v>1741</v>
      </c>
      <c r="CB66" s="57" t="s">
        <v>2074</v>
      </c>
      <c r="CC66" s="158" t="s">
        <v>1893</v>
      </c>
      <c r="CD66" s="57">
        <v>10</v>
      </c>
      <c r="CE66" s="58">
        <v>26.8935</v>
      </c>
      <c r="CF66" s="58">
        <f>IFERROR(Table6[[#This Row],[Redbook WAC price per tablet/capsule (Jul 2022)]]/Table6[[#This Row],[Redbook package strength (mg) (Jul 2022)]], "")</f>
        <v>2.6893500000000001</v>
      </c>
      <c r="CG66" s="74" t="s">
        <v>1741</v>
      </c>
      <c r="CH66" s="57" t="s">
        <v>2074</v>
      </c>
      <c r="CI66" s="57" t="s">
        <v>1893</v>
      </c>
      <c r="CJ66" s="57">
        <v>10</v>
      </c>
      <c r="CK66" s="58">
        <v>26.8935</v>
      </c>
      <c r="CL66" s="58">
        <f>IFERROR(Table6[[#This Row],[Redbook WAC price per tablet/capsule (Jan 2023)]]/Table6[[#This Row],[Redbook package strength (mg) (Jan 2023)]], "")</f>
        <v>2.6893500000000001</v>
      </c>
      <c r="CM66" s="57" t="s">
        <v>1741</v>
      </c>
      <c r="CN66" t="s">
        <v>2385</v>
      </c>
    </row>
    <row r="67" spans="1:92" x14ac:dyDescent="0.3">
      <c r="A67" s="91" t="s">
        <v>149</v>
      </c>
      <c r="B67" s="57" t="s">
        <v>1885</v>
      </c>
      <c r="C67" s="57" t="s">
        <v>1886</v>
      </c>
      <c r="D67" s="57">
        <v>140</v>
      </c>
      <c r="E67" s="57">
        <v>362.14777500000002</v>
      </c>
      <c r="F67" s="57">
        <f>IFERROR(Table6[[#This Row],[Redbook WAC price per tablet/capsule (Jan 2016)]]/Table6[[#This Row],[Redbook package strength (mg) (Jan 2016)]], "")</f>
        <v>2.5867698214285717</v>
      </c>
      <c r="G67" s="74" t="s">
        <v>1741</v>
      </c>
      <c r="H67" s="57" t="s">
        <v>1885</v>
      </c>
      <c r="I67" s="57" t="s">
        <v>1886</v>
      </c>
      <c r="J67" s="57">
        <v>140</v>
      </c>
      <c r="K67" s="57">
        <v>376.63360833299998</v>
      </c>
      <c r="L67" s="57">
        <f>IFERROR(Table6[[#This Row],[Redbook WAC price per tablet/capsule (Jul 2016)]]/Table6[[#This Row],[Redbook package strength (mg) (Jul 2016)]], "")</f>
        <v>2.6902400595214284</v>
      </c>
      <c r="M67" s="74" t="s">
        <v>1741</v>
      </c>
      <c r="N67" s="57" t="s">
        <v>1885</v>
      </c>
      <c r="O67" s="57" t="s">
        <v>2690</v>
      </c>
      <c r="P67" s="57">
        <v>140</v>
      </c>
      <c r="Q67" s="57">
        <v>402.62139166700001</v>
      </c>
      <c r="R67" s="57">
        <f>IFERROR(Table6[[#This Row],[Redbook WAC price per tablet/capsule (Jan 2017)]]/Table6[[#This Row],[Redbook package strength (mg) (Jan 2017)]], "")</f>
        <v>2.8758670833357143</v>
      </c>
      <c r="S67" s="74" t="s">
        <v>1741</v>
      </c>
      <c r="T67" s="57" t="s">
        <v>1885</v>
      </c>
      <c r="U67" s="57" t="s">
        <v>1886</v>
      </c>
      <c r="V67" s="57">
        <v>140</v>
      </c>
      <c r="W67" s="284">
        <f>(483.14567/1.2)</f>
        <v>402.62139166666668</v>
      </c>
      <c r="X67" s="284">
        <f>IFERROR(Table6[[#This Row],[Redbook WAC price per tablet/capsule (Jul 2017)]]/Table6[[#This Row],[Redbook package strength (mg) (Jul 2017)]], "")</f>
        <v>2.8758670833333335</v>
      </c>
      <c r="Y67" s="57" t="s">
        <v>1741</v>
      </c>
      <c r="Z67" s="388" t="s">
        <v>1885</v>
      </c>
      <c r="AA67" s="389" t="s">
        <v>1886</v>
      </c>
      <c r="AB67" s="158">
        <v>140</v>
      </c>
      <c r="AC67" s="390">
        <v>402.62139166666668</v>
      </c>
      <c r="AD67" s="390">
        <f>Table6[[#This Row],[Redbook WAC price per tablet/capsule (Jan 2018)]]/Table6[[#This Row],[Redbook package strength (mg) (Jan 2018)]]</f>
        <v>2.8758670833333335</v>
      </c>
      <c r="AE67" s="391" t="s">
        <v>1741</v>
      </c>
      <c r="AF67" s="388" t="s">
        <v>1885</v>
      </c>
      <c r="AG67" s="389" t="s">
        <v>1886</v>
      </c>
      <c r="AH67" s="397">
        <v>140</v>
      </c>
      <c r="AI67" s="399">
        <v>430.40222499999999</v>
      </c>
      <c r="AJ67" s="399">
        <f>Table6[[#This Row],[Redbook WAC price per tablet/capsule (Jul 2018)]]/Table6[[#This Row],[Redbook package strength (mg) (Jul 2018)]]</f>
        <v>3.0743016071428571</v>
      </c>
      <c r="AK67" s="391" t="s">
        <v>1741</v>
      </c>
      <c r="AL67" s="57" t="s">
        <v>1885</v>
      </c>
      <c r="AM67" s="57" t="s">
        <v>1886</v>
      </c>
      <c r="AN67" s="57">
        <v>140</v>
      </c>
      <c r="AO67" s="58">
        <v>456.22640000000001</v>
      </c>
      <c r="AP67" s="58">
        <f>IFERROR(Table6[[#This Row],[Redbook WAC price per tablet/capsule (Jan 2019)]]/Table6[[#This Row],[Redbook package strength (mg) (Jan 2019)]], "")</f>
        <v>3.2587600000000001</v>
      </c>
      <c r="AQ67" s="74" t="s">
        <v>1741</v>
      </c>
      <c r="AR67" s="73" t="s">
        <v>1885</v>
      </c>
      <c r="AS67" s="57" t="s">
        <v>1886</v>
      </c>
      <c r="AT67" s="57">
        <v>140</v>
      </c>
      <c r="AU67" s="58">
        <v>456.22640000000001</v>
      </c>
      <c r="AV67" s="58">
        <f>IFERROR(Table6[[#This Row],[Redbook WAC price per tablet/capsule (Jul 2019)]]/Table6[[#This Row],[Redbook package strength (mg) (Jul 2019)]], "")</f>
        <v>3.2587600000000001</v>
      </c>
      <c r="AW67" s="74" t="s">
        <v>1741</v>
      </c>
      <c r="AX67" s="73" t="s">
        <v>1885</v>
      </c>
      <c r="AY67" s="57" t="s">
        <v>1886</v>
      </c>
      <c r="AZ67" s="57">
        <v>140</v>
      </c>
      <c r="BA67" s="59">
        <v>483.6</v>
      </c>
      <c r="BB67" s="59">
        <f>IFERROR(Table6[[#This Row],[Redbook WAC price per tablet/capsule (Jan 2020)]]/Table6[[#This Row],[Redbook package strength (mg) (Jan 2020)]], "")</f>
        <v>3.4542857142857146</v>
      </c>
      <c r="BC67" t="s">
        <v>1741</v>
      </c>
      <c r="BD67" s="73" t="s">
        <v>1885</v>
      </c>
      <c r="BE67" s="57" t="s">
        <v>1886</v>
      </c>
      <c r="BF67" s="57">
        <v>140</v>
      </c>
      <c r="BG67" s="58">
        <v>483.6</v>
      </c>
      <c r="BH67" s="58">
        <f>IFERROR(Table6[[#This Row],[Redbook WAC price per tablet/capsule (Jul 2020)]]/Table6[[#This Row],[Redbook package strength (mg) (Jul 2020)]], "")</f>
        <v>3.4542857142857146</v>
      </c>
      <c r="BI67" s="74" t="s">
        <v>1741</v>
      </c>
      <c r="BJ67" s="57" t="s">
        <v>1885</v>
      </c>
      <c r="BK67" s="57" t="s">
        <v>1886</v>
      </c>
      <c r="BL67" s="57">
        <v>140</v>
      </c>
      <c r="BM67" s="58">
        <v>505.36194</v>
      </c>
      <c r="BN67" s="58">
        <f>IFERROR(Table6[[#This Row],[Redbook WAC price per tablet/capsule (Jan 2021)]]/Table6[[#This Row],[Redbook package strength (mg) (Jan 2021)]], "")</f>
        <v>3.6097281428571431</v>
      </c>
      <c r="BO67" s="57" t="s">
        <v>1741</v>
      </c>
      <c r="BP67" s="73" t="s">
        <v>1885</v>
      </c>
      <c r="BQ67" s="57" t="s">
        <v>1886</v>
      </c>
      <c r="BR67" s="57">
        <v>140</v>
      </c>
      <c r="BS67" s="58">
        <v>505.36194</v>
      </c>
      <c r="BT67" s="58">
        <f>IFERROR(Table6[[#This Row],[Redbook WAC price per tablet/capsule (Jul 2021)]]/Table6[[#This Row],[Redbook package strength (mg) (Jul 2021)]], "")</f>
        <v>3.6097281428571431</v>
      </c>
      <c r="BU67" s="57" t="s">
        <v>1741</v>
      </c>
      <c r="BV67" s="186" t="s">
        <v>1885</v>
      </c>
      <c r="BW67" s="158" t="s">
        <v>1886</v>
      </c>
      <c r="BX67" s="57">
        <v>140</v>
      </c>
      <c r="BY67" s="58">
        <v>528.1</v>
      </c>
      <c r="BZ67" s="58">
        <f>IFERROR(Table6[[#This Row],[Redbook WAC price per tablet/capsule (Jan 2022)]]/Table6[[#This Row],[Redbook package strength (mg) (Jan 2022)]], "")</f>
        <v>3.7721428571428572</v>
      </c>
      <c r="CA67" s="74" t="s">
        <v>1741</v>
      </c>
      <c r="CB67" s="57" t="s">
        <v>1885</v>
      </c>
      <c r="CC67" s="158" t="s">
        <v>1886</v>
      </c>
      <c r="CD67" s="57">
        <v>140</v>
      </c>
      <c r="CE67" s="58">
        <v>528.10333000000003</v>
      </c>
      <c r="CF67" s="58">
        <f>IFERROR(Table6[[#This Row],[Redbook WAC price per tablet/capsule (Jul 2022)]]/Table6[[#This Row],[Redbook package strength (mg) (Jul 2022)]], "")</f>
        <v>3.772166642857143</v>
      </c>
      <c r="CG67" s="74" t="s">
        <v>1741</v>
      </c>
      <c r="CH67" s="57" t="s">
        <v>1885</v>
      </c>
      <c r="CI67" s="57" t="s">
        <v>1886</v>
      </c>
      <c r="CJ67" s="57">
        <v>140</v>
      </c>
      <c r="CK67" s="58">
        <v>559.78932999999995</v>
      </c>
      <c r="CL67" s="58">
        <f>IFERROR(Table6[[#This Row],[Redbook WAC price per tablet/capsule (Jan 2023)]]/Table6[[#This Row],[Redbook package strength (mg) (Jan 2023)]], "")</f>
        <v>3.9984952142857138</v>
      </c>
      <c r="CM67" s="57" t="s">
        <v>1741</v>
      </c>
    </row>
    <row r="68" spans="1:92" x14ac:dyDescent="0.3">
      <c r="A68" s="85" t="s">
        <v>150</v>
      </c>
      <c r="B68" s="57" t="s">
        <v>1804</v>
      </c>
      <c r="C68" s="57" t="s">
        <v>1515</v>
      </c>
      <c r="D68" s="57">
        <v>200</v>
      </c>
      <c r="E68" s="57">
        <v>86.340774999999994</v>
      </c>
      <c r="F68" s="57">
        <f>IFERROR(Table6[[#This Row],[Redbook WAC price per tablet/capsule (Jan 2016)]]/Table6[[#This Row],[Redbook package strength (mg) (Jan 2016)]], "")</f>
        <v>0.43170387499999996</v>
      </c>
      <c r="G68" s="74" t="s">
        <v>1741</v>
      </c>
      <c r="H68" s="57" t="s">
        <v>1804</v>
      </c>
      <c r="I68" s="57" t="s">
        <v>1515</v>
      </c>
      <c r="J68" s="57">
        <v>200</v>
      </c>
      <c r="K68" s="57">
        <v>94.144341666700001</v>
      </c>
      <c r="L68" s="57">
        <f>IFERROR(Table6[[#This Row],[Redbook WAC price per tablet/capsule (Jul 2016)]]/Table6[[#This Row],[Redbook package strength (mg) (Jul 2016)]], "")</f>
        <v>0.47072170833350002</v>
      </c>
      <c r="M68" s="74" t="s">
        <v>1741</v>
      </c>
      <c r="N68" s="57" t="s">
        <v>2691</v>
      </c>
      <c r="O68" s="57" t="s">
        <v>1515</v>
      </c>
      <c r="P68" s="57">
        <v>200</v>
      </c>
      <c r="Q68" s="57">
        <v>94.144791666700002</v>
      </c>
      <c r="R68" s="57">
        <f>IFERROR(Table6[[#This Row],[Redbook WAC price per tablet/capsule (Jan 2017)]]/Table6[[#This Row],[Redbook package strength (mg) (Jan 2017)]], "")</f>
        <v>0.4707239583335</v>
      </c>
      <c r="S68" s="74" t="s">
        <v>1741</v>
      </c>
      <c r="T68" s="57" t="s">
        <v>1804</v>
      </c>
      <c r="U68" s="57" t="s">
        <v>1515</v>
      </c>
      <c r="V68" s="57">
        <v>200</v>
      </c>
      <c r="W68" s="284">
        <f>(124.15/1.2)</f>
        <v>103.45833333333334</v>
      </c>
      <c r="X68" s="284">
        <f>IFERROR(Table6[[#This Row],[Redbook WAC price per tablet/capsule (Jul 2017)]]/Table6[[#This Row],[Redbook package strength (mg) (Jul 2017)]], "")</f>
        <v>0.51729166666666671</v>
      </c>
      <c r="Y68" s="57" t="s">
        <v>1741</v>
      </c>
      <c r="Z68" s="388" t="s">
        <v>1804</v>
      </c>
      <c r="AA68" s="389" t="s">
        <v>1515</v>
      </c>
      <c r="AB68" s="158">
        <v>200</v>
      </c>
      <c r="AC68" s="390">
        <v>103.45833333333334</v>
      </c>
      <c r="AD68" s="390">
        <f>Table6[[#This Row],[Redbook WAC price per tablet/capsule (Jan 2018)]]/Table6[[#This Row],[Redbook package strength (mg) (Jan 2018)]]</f>
        <v>0.51729166666666671</v>
      </c>
      <c r="AE68" s="391" t="s">
        <v>1741</v>
      </c>
      <c r="AF68" s="388" t="s">
        <v>1804</v>
      </c>
      <c r="AG68" s="389" t="s">
        <v>1515</v>
      </c>
      <c r="AH68" s="397">
        <v>200</v>
      </c>
      <c r="AI68" s="399">
        <v>113.70059166666667</v>
      </c>
      <c r="AJ68" s="399">
        <f>Table6[[#This Row],[Redbook WAC price per tablet/capsule (Jul 2018)]]/Table6[[#This Row],[Redbook package strength (mg) (Jul 2018)]]</f>
        <v>0.56850295833333331</v>
      </c>
      <c r="AK68" s="391" t="s">
        <v>1741</v>
      </c>
      <c r="AL68" s="57" t="s">
        <v>1804</v>
      </c>
      <c r="AM68" s="57" t="s">
        <v>1515</v>
      </c>
      <c r="AN68" s="57">
        <v>200</v>
      </c>
      <c r="AO68" s="58">
        <v>113.7007</v>
      </c>
      <c r="AP68" s="58">
        <f>IFERROR(Table6[[#This Row],[Redbook WAC price per tablet/capsule (Jan 2019)]]/Table6[[#This Row],[Redbook package strength (mg) (Jan 2019)]], "")</f>
        <v>0.56850349999999994</v>
      </c>
      <c r="AQ68" s="74" t="s">
        <v>1741</v>
      </c>
      <c r="AR68" s="73" t="s">
        <v>1804</v>
      </c>
      <c r="AS68" s="57" t="s">
        <v>1515</v>
      </c>
      <c r="AT68" s="57">
        <v>200</v>
      </c>
      <c r="AU68">
        <v>122.7968</v>
      </c>
      <c r="AV68" s="58">
        <f>IFERROR(Table6[[#This Row],[Redbook WAC price per tablet/capsule (Jul 2019)]]/Table6[[#This Row],[Redbook package strength (mg) (Jul 2019)]], "")</f>
        <v>0.61398399999999997</v>
      </c>
      <c r="AW68" s="74" t="s">
        <v>1741</v>
      </c>
      <c r="AX68" s="73" t="s">
        <v>1804</v>
      </c>
      <c r="AY68" s="57" t="s">
        <v>1515</v>
      </c>
      <c r="AZ68" s="57">
        <v>200</v>
      </c>
      <c r="BA68">
        <v>122.7968</v>
      </c>
      <c r="BB68" s="59">
        <f>IFERROR(Table6[[#This Row],[Redbook WAC price per tablet/capsule (Jan 2020)]]/Table6[[#This Row],[Redbook package strength (mg) (Jan 2020)]], "")</f>
        <v>0.61398399999999997</v>
      </c>
      <c r="BC68" t="s">
        <v>1741</v>
      </c>
      <c r="BD68" s="73" t="s">
        <v>1804</v>
      </c>
      <c r="BE68" s="57" t="s">
        <v>1515</v>
      </c>
      <c r="BF68" s="57">
        <v>200</v>
      </c>
      <c r="BG68" s="59">
        <v>131.39250000000001</v>
      </c>
      <c r="BH68" s="58">
        <f>IFERROR(Table6[[#This Row],[Redbook WAC price per tablet/capsule (Jul 2020)]]/Table6[[#This Row],[Redbook package strength (mg) (Jul 2020)]], "")</f>
        <v>0.65696250000000012</v>
      </c>
      <c r="BI68" s="74" t="s">
        <v>1741</v>
      </c>
      <c r="BJ68" s="57" t="s">
        <v>1804</v>
      </c>
      <c r="BK68" s="57" t="s">
        <v>1515</v>
      </c>
      <c r="BL68" s="57">
        <v>200</v>
      </c>
      <c r="BM68" s="58">
        <v>131.39250000000001</v>
      </c>
      <c r="BN68" s="58">
        <f>IFERROR(Table6[[#This Row],[Redbook WAC price per tablet/capsule (Jan 2021)]]/Table6[[#This Row],[Redbook package strength (mg) (Jan 2021)]], "")</f>
        <v>0.65696250000000012</v>
      </c>
      <c r="BO68" s="57" t="s">
        <v>1741</v>
      </c>
      <c r="BP68" s="73" t="s">
        <v>1804</v>
      </c>
      <c r="BQ68" s="57" t="s">
        <v>1515</v>
      </c>
      <c r="BR68" s="57">
        <v>200</v>
      </c>
      <c r="BS68" s="58">
        <v>140.58987999999999</v>
      </c>
      <c r="BT68" s="58">
        <f>IFERROR(Table6[[#This Row],[Redbook WAC price per tablet/capsule (Jul 2021)]]/Table6[[#This Row],[Redbook package strength (mg) (Jul 2021)]], "")</f>
        <v>0.70294939999999995</v>
      </c>
      <c r="BU68" s="57" t="s">
        <v>1741</v>
      </c>
      <c r="BV68" s="186" t="s">
        <v>1804</v>
      </c>
      <c r="BW68" s="158" t="s">
        <v>1515</v>
      </c>
      <c r="BX68" s="57">
        <v>200</v>
      </c>
      <c r="BY68" s="58">
        <v>140.58988299999999</v>
      </c>
      <c r="BZ68" s="58">
        <f>IFERROR(Table6[[#This Row],[Redbook WAC price per tablet/capsule (Jan 2022)]]/Table6[[#This Row],[Redbook package strength (mg) (Jan 2022)]], "")</f>
        <v>0.70294941499999997</v>
      </c>
      <c r="CA68" s="74" t="s">
        <v>1741</v>
      </c>
      <c r="CB68" s="57" t="s">
        <v>1804</v>
      </c>
      <c r="CC68" s="158" t="s">
        <v>1515</v>
      </c>
      <c r="CD68" s="57">
        <v>200</v>
      </c>
      <c r="CE68" s="58">
        <v>149.02536000000001</v>
      </c>
      <c r="CF68" s="247">
        <f>IFERROR(Table6[[#This Row],[Redbook WAC price per tablet/capsule (Jul 2022)]]/Table6[[#This Row],[Redbook package strength (mg) (Jul 2022)]], "")</f>
        <v>0.74512679999999998</v>
      </c>
      <c r="CG68" s="74" t="s">
        <v>1741</v>
      </c>
      <c r="CH68" s="57" t="s">
        <v>1804</v>
      </c>
      <c r="CI68" s="57" t="s">
        <v>1515</v>
      </c>
      <c r="CJ68" s="57">
        <v>200</v>
      </c>
      <c r="CK68" s="58">
        <v>152.00565833300001</v>
      </c>
      <c r="CL68" s="58">
        <f>IFERROR(Table6[[#This Row],[Redbook WAC price per tablet/capsule (Jan 2023)]]/Table6[[#This Row],[Redbook package strength (mg) (Jan 2023)]], "")</f>
        <v>0.76002829166500008</v>
      </c>
      <c r="CM68" s="57" t="s">
        <v>1741</v>
      </c>
    </row>
    <row r="69" spans="1:92" x14ac:dyDescent="0.3">
      <c r="A69" s="138" t="s">
        <v>151</v>
      </c>
      <c r="B69" s="57" t="s">
        <v>1902</v>
      </c>
      <c r="C69" s="57" t="s">
        <v>1894</v>
      </c>
      <c r="D69" s="57">
        <v>200</v>
      </c>
      <c r="E69" s="57">
        <v>0.28589999999999999</v>
      </c>
      <c r="F69" s="57">
        <f>IFERROR(Table6[[#This Row],[Redbook WAC price per tablet/capsule (Jan 2016)]]/Table6[[#This Row],[Redbook package strength (mg) (Jan 2016)]], "")</f>
        <v>1.4295E-3</v>
      </c>
      <c r="G69" s="74" t="s">
        <v>1741</v>
      </c>
      <c r="H69" s="57" t="s">
        <v>1902</v>
      </c>
      <c r="I69" s="57" t="s">
        <v>1894</v>
      </c>
      <c r="J69" s="57">
        <v>200</v>
      </c>
      <c r="K69" s="57">
        <v>0.28589999999999999</v>
      </c>
      <c r="L69" s="57">
        <f>IFERROR(Table6[[#This Row],[Redbook WAC price per tablet/capsule (Jul 2016)]]/Table6[[#This Row],[Redbook package strength (mg) (Jul 2016)]], "")</f>
        <v>1.4295E-3</v>
      </c>
      <c r="M69" s="74" t="s">
        <v>1741</v>
      </c>
      <c r="N69" s="57" t="s">
        <v>1900</v>
      </c>
      <c r="O69" s="57" t="s">
        <v>1894</v>
      </c>
      <c r="P69" s="57">
        <v>200</v>
      </c>
      <c r="Q69" s="57">
        <v>1.2746999999999999</v>
      </c>
      <c r="R69" s="57">
        <f>IFERROR(Table6[[#This Row],[Redbook WAC price per tablet/capsule (Jan 2017)]]/Table6[[#This Row],[Redbook package strength (mg) (Jan 2017)]], "")</f>
        <v>6.3734999999999998E-3</v>
      </c>
      <c r="S69" s="74" t="s">
        <v>1741</v>
      </c>
      <c r="T69" s="57" t="s">
        <v>1900</v>
      </c>
      <c r="U69" s="57" t="s">
        <v>1894</v>
      </c>
      <c r="V69" s="57">
        <v>200</v>
      </c>
      <c r="W69" s="284">
        <v>1.2746999999999999</v>
      </c>
      <c r="X69" s="284">
        <f>IFERROR(Table6[[#This Row],[Redbook WAC price per tablet/capsule (Jul 2017)]]/Table6[[#This Row],[Redbook package strength (mg) (Jul 2017)]], "")</f>
        <v>6.3734999999999998E-3</v>
      </c>
      <c r="Y69" s="57" t="s">
        <v>1741</v>
      </c>
      <c r="Z69" s="388" t="s">
        <v>1900</v>
      </c>
      <c r="AA69" s="389" t="s">
        <v>1894</v>
      </c>
      <c r="AB69" s="158">
        <v>200</v>
      </c>
      <c r="AC69" s="390">
        <v>1.2746999999999999</v>
      </c>
      <c r="AD69" s="390">
        <f>Table6[[#This Row],[Redbook WAC price per tablet/capsule (Jan 2018)]]/Table6[[#This Row],[Redbook package strength (mg) (Jan 2018)]]</f>
        <v>6.3734999999999998E-3</v>
      </c>
      <c r="AE69" s="391" t="s">
        <v>1741</v>
      </c>
      <c r="AF69" s="388" t="s">
        <v>1900</v>
      </c>
      <c r="AG69" s="389" t="s">
        <v>1894</v>
      </c>
      <c r="AH69" s="397">
        <v>200</v>
      </c>
      <c r="AI69" s="399">
        <v>1.2746999999999999</v>
      </c>
      <c r="AJ69" s="399">
        <f>Table6[[#This Row],[Redbook WAC price per tablet/capsule (Jul 2018)]]/Table6[[#This Row],[Redbook package strength (mg) (Jul 2018)]]</f>
        <v>6.3734999999999998E-3</v>
      </c>
      <c r="AK69" s="391" t="s">
        <v>1741</v>
      </c>
      <c r="AL69" s="57" t="s">
        <v>1900</v>
      </c>
      <c r="AM69" s="57" t="s">
        <v>1894</v>
      </c>
      <c r="AN69" s="57">
        <v>200</v>
      </c>
      <c r="AO69" s="58">
        <v>1.2746999999999999</v>
      </c>
      <c r="AP69" s="58">
        <f>IFERROR(Table6[[#This Row],[Redbook WAC price per tablet/capsule (Jan 2019)]]/Table6[[#This Row],[Redbook package strength (mg) (Jan 2019)]], "")</f>
        <v>6.3734999999999998E-3</v>
      </c>
      <c r="AQ69" s="74" t="s">
        <v>1741</v>
      </c>
      <c r="AR69" s="73" t="s">
        <v>1901</v>
      </c>
      <c r="AS69" s="57" t="s">
        <v>1894</v>
      </c>
      <c r="AT69" s="57">
        <v>200</v>
      </c>
      <c r="AU69" s="58">
        <v>0.30499999999999999</v>
      </c>
      <c r="AV69" s="58">
        <f>IFERROR(Table6[[#This Row],[Redbook WAC price per tablet/capsule (Jul 2019)]]/Table6[[#This Row],[Redbook package strength (mg) (Jul 2019)]], "")</f>
        <v>1.5249999999999999E-3</v>
      </c>
      <c r="AW69" s="74" t="s">
        <v>1741</v>
      </c>
      <c r="AX69" s="73" t="s">
        <v>1900</v>
      </c>
      <c r="AY69" s="57" t="s">
        <v>1894</v>
      </c>
      <c r="AZ69" s="57">
        <v>200</v>
      </c>
      <c r="BA69" s="58">
        <v>1.2746999999999999</v>
      </c>
      <c r="BB69" s="59">
        <f>IFERROR(Table6[[#This Row],[Redbook WAC price per tablet/capsule (Jan 2020)]]/Table6[[#This Row],[Redbook package strength (mg) (Jan 2020)]], "")</f>
        <v>6.3734999999999998E-3</v>
      </c>
      <c r="BC69" t="s">
        <v>1741</v>
      </c>
      <c r="BD69" s="73" t="s">
        <v>1902</v>
      </c>
      <c r="BE69" s="57" t="s">
        <v>1894</v>
      </c>
      <c r="BF69" s="57">
        <v>100</v>
      </c>
      <c r="BG69" s="58">
        <v>0.28589999999999999</v>
      </c>
      <c r="BH69" s="58">
        <f>IFERROR(Table6[[#This Row],[Redbook WAC price per tablet/capsule (Jul 2020)]]/Table6[[#This Row],[Redbook package strength (mg) (Jul 2020)]], "")</f>
        <v>2.859E-3</v>
      </c>
      <c r="BI69" s="74" t="s">
        <v>1741</v>
      </c>
      <c r="BJ69" s="57" t="s">
        <v>1901</v>
      </c>
      <c r="BK69" s="57" t="s">
        <v>1894</v>
      </c>
      <c r="BL69" s="57">
        <v>200</v>
      </c>
      <c r="BM69" s="58">
        <v>0.30499999999999999</v>
      </c>
      <c r="BN69" s="58">
        <f>IFERROR(Table6[[#This Row],[Redbook WAC price per tablet/capsule (Jan 2021)]]/Table6[[#This Row],[Redbook package strength (mg) (Jan 2021)]], "")</f>
        <v>1.5249999999999999E-3</v>
      </c>
      <c r="BO69" s="57" t="s">
        <v>1741</v>
      </c>
      <c r="BP69" s="73" t="s">
        <v>1901</v>
      </c>
      <c r="BQ69" s="57" t="s">
        <v>1894</v>
      </c>
      <c r="BR69" s="57">
        <v>200</v>
      </c>
      <c r="BS69" s="58">
        <v>0.30499999999999999</v>
      </c>
      <c r="BT69" s="58">
        <f>IFERROR(Table6[[#This Row],[Redbook WAC price per tablet/capsule (Jul 2021)]]/Table6[[#This Row],[Redbook package strength (mg) (Jul 2021)]], "")</f>
        <v>1.5249999999999999E-3</v>
      </c>
      <c r="BU69" s="57" t="s">
        <v>1741</v>
      </c>
      <c r="BV69" s="186" t="s">
        <v>1901</v>
      </c>
      <c r="BW69" s="158" t="s">
        <v>1894</v>
      </c>
      <c r="BX69" s="57">
        <v>200</v>
      </c>
      <c r="BY69" s="58">
        <v>0.31</v>
      </c>
      <c r="BZ69" s="58">
        <f>IFERROR(Table6[[#This Row],[Redbook WAC price per tablet/capsule (Jan 2022)]]/Table6[[#This Row],[Redbook package strength (mg) (Jan 2022)]], "")</f>
        <v>1.5499999999999999E-3</v>
      </c>
      <c r="CA69" s="74" t="s">
        <v>1741</v>
      </c>
      <c r="CB69" s="57" t="s">
        <v>1901</v>
      </c>
      <c r="CC69" s="158" t="s">
        <v>1894</v>
      </c>
      <c r="CD69" s="57">
        <v>200</v>
      </c>
      <c r="CE69" s="58">
        <v>0.30499999999999999</v>
      </c>
      <c r="CF69" s="58">
        <f>IFERROR(Table6[[#This Row],[Redbook WAC price per tablet/capsule (Jul 2022)]]/Table6[[#This Row],[Redbook package strength (mg) (Jul 2022)]], "")</f>
        <v>1.5249999999999999E-3</v>
      </c>
      <c r="CG69" s="74" t="s">
        <v>1741</v>
      </c>
      <c r="CH69" s="57" t="s">
        <v>2386</v>
      </c>
      <c r="CI69" s="57" t="s">
        <v>1894</v>
      </c>
      <c r="CJ69" s="57">
        <v>200</v>
      </c>
      <c r="CK69" s="58">
        <v>0.3105</v>
      </c>
      <c r="CL69" s="58">
        <f>IFERROR(Table6[[#This Row],[Redbook WAC price per tablet/capsule (Jan 2023)]]/Table6[[#This Row],[Redbook package strength (mg) (Jan 2023)]], "")</f>
        <v>1.5525000000000001E-3</v>
      </c>
      <c r="CM69" s="57" t="s">
        <v>1741</v>
      </c>
    </row>
    <row r="70" spans="1:92" x14ac:dyDescent="0.3">
      <c r="A70" s="91" t="s">
        <v>155</v>
      </c>
      <c r="B70" s="57" t="s">
        <v>1887</v>
      </c>
      <c r="C70" s="57" t="s">
        <v>1888</v>
      </c>
      <c r="D70" s="57">
        <v>500</v>
      </c>
      <c r="E70" s="57">
        <v>381.43222500000002</v>
      </c>
      <c r="F70" s="57">
        <f>IFERROR(Table6[[#This Row],[Redbook WAC price per tablet/capsule (Jan 2016)]]/Table6[[#This Row],[Redbook package strength (mg) (Jan 2016)]], "")</f>
        <v>0.76286445000000003</v>
      </c>
      <c r="G70" s="74" t="s">
        <v>1741</v>
      </c>
      <c r="H70" s="57" t="s">
        <v>2380</v>
      </c>
      <c r="I70" s="57" t="s">
        <v>1888</v>
      </c>
      <c r="J70" s="57">
        <v>500</v>
      </c>
      <c r="K70" s="57">
        <v>381.43222500000002</v>
      </c>
      <c r="L70" s="57">
        <f>IFERROR(Table6[[#This Row],[Redbook WAC price per tablet/capsule (Jul 2016)]]/Table6[[#This Row],[Redbook package strength (mg) (Jul 2016)]], "")</f>
        <v>0.76286445000000003</v>
      </c>
      <c r="M70" s="74" t="s">
        <v>1741</v>
      </c>
      <c r="N70" s="57" t="s">
        <v>1887</v>
      </c>
      <c r="O70" s="57" t="s">
        <v>1888</v>
      </c>
      <c r="P70" s="57">
        <v>500</v>
      </c>
      <c r="Q70" s="57">
        <v>438.15139166699998</v>
      </c>
      <c r="R70" s="57">
        <f>IFERROR(Table6[[#This Row],[Redbook WAC price per tablet/capsule (Jan 2017)]]/Table6[[#This Row],[Redbook package strength (mg) (Jan 2017)]], "")</f>
        <v>0.87630278333400002</v>
      </c>
      <c r="S70" s="74" t="s">
        <v>1741</v>
      </c>
      <c r="T70" s="57" t="s">
        <v>1887</v>
      </c>
      <c r="U70" s="57" t="s">
        <v>1888</v>
      </c>
      <c r="V70" s="57">
        <v>500</v>
      </c>
      <c r="W70" s="284">
        <f>(541.55533/1.2)</f>
        <v>451.29610833333339</v>
      </c>
      <c r="X70" s="284">
        <f>IFERROR(Table6[[#This Row],[Redbook WAC price per tablet/capsule (Jul 2017)]]/Table6[[#This Row],[Redbook package strength (mg) (Jul 2017)]], "")</f>
        <v>0.90259221666666678</v>
      </c>
      <c r="Y70" s="57" t="s">
        <v>1741</v>
      </c>
      <c r="Z70" s="388" t="s">
        <v>1887</v>
      </c>
      <c r="AA70" s="389" t="s">
        <v>1888</v>
      </c>
      <c r="AB70" s="158">
        <v>500</v>
      </c>
      <c r="AC70" s="390">
        <v>451.29610833333339</v>
      </c>
      <c r="AD70" s="390">
        <f>Table6[[#This Row],[Redbook WAC price per tablet/capsule (Jan 2018)]]/Table6[[#This Row],[Redbook package strength (mg) (Jan 2018)]]</f>
        <v>0.90259221666666678</v>
      </c>
      <c r="AE70" s="391" t="s">
        <v>1741</v>
      </c>
      <c r="AF70" s="388" t="s">
        <v>1887</v>
      </c>
      <c r="AG70" s="389" t="s">
        <v>1888</v>
      </c>
      <c r="AH70" s="397">
        <v>500</v>
      </c>
      <c r="AI70" s="399">
        <v>473.8605583333333</v>
      </c>
      <c r="AJ70" s="399">
        <f>Table6[[#This Row],[Redbook WAC price per tablet/capsule (Jul 2018)]]/Table6[[#This Row],[Redbook package strength (mg) (Jul 2018)]]</f>
        <v>0.94772111666666659</v>
      </c>
      <c r="AK70" s="391" t="s">
        <v>1741</v>
      </c>
      <c r="AL70" s="57" t="s">
        <v>1887</v>
      </c>
      <c r="AM70" s="57" t="s">
        <v>1888</v>
      </c>
      <c r="AN70" s="57">
        <v>500</v>
      </c>
      <c r="AO70" s="58">
        <v>473.86070000000001</v>
      </c>
      <c r="AP70" s="58">
        <f>IFERROR(Table6[[#This Row],[Redbook WAC price per tablet/capsule (Jan 2019)]]/Table6[[#This Row],[Redbook package strength (mg) (Jan 2019)]], "")</f>
        <v>0.94772140000000005</v>
      </c>
      <c r="AQ70" s="74" t="s">
        <v>1741</v>
      </c>
      <c r="AR70" s="73" t="s">
        <v>1887</v>
      </c>
      <c r="AS70" s="57" t="s">
        <v>1888</v>
      </c>
      <c r="AT70" s="57">
        <v>500</v>
      </c>
      <c r="AU70" s="58">
        <v>497.55369999999999</v>
      </c>
      <c r="AV70" s="58">
        <f>IFERROR(Table6[[#This Row],[Redbook WAC price per tablet/capsule (Jul 2019)]]/Table6[[#This Row],[Redbook package strength (mg) (Jul 2019)]], "")</f>
        <v>0.99510739999999998</v>
      </c>
      <c r="AW70" s="74" t="s">
        <v>1741</v>
      </c>
      <c r="AX70" s="73" t="s">
        <v>1887</v>
      </c>
      <c r="AY70" s="57" t="s">
        <v>1888</v>
      </c>
      <c r="AZ70" s="57">
        <v>500</v>
      </c>
      <c r="BA70" s="59">
        <v>522.43129999999996</v>
      </c>
      <c r="BB70" s="59">
        <f>IFERROR(Table6[[#This Row],[Redbook WAC price per tablet/capsule (Jan 2020)]]/Table6[[#This Row],[Redbook package strength (mg) (Jan 2020)]], "")</f>
        <v>1.0448625999999999</v>
      </c>
      <c r="BC70" t="s">
        <v>1741</v>
      </c>
      <c r="BD70" s="73" t="s">
        <v>1887</v>
      </c>
      <c r="BE70" s="57" t="s">
        <v>1888</v>
      </c>
      <c r="BF70" s="57">
        <v>500</v>
      </c>
      <c r="BG70" s="58">
        <v>522.43129999999996</v>
      </c>
      <c r="BH70" s="58">
        <f>IFERROR(Table6[[#This Row],[Redbook WAC price per tablet/capsule (Jul 2020)]]/Table6[[#This Row],[Redbook package strength (mg) (Jul 2020)]], "")</f>
        <v>1.0448625999999999</v>
      </c>
      <c r="BI70" s="74" t="s">
        <v>1741</v>
      </c>
      <c r="BJ70" s="57" t="s">
        <v>1887</v>
      </c>
      <c r="BK70" s="57" t="s">
        <v>1888</v>
      </c>
      <c r="BL70" s="57">
        <v>500</v>
      </c>
      <c r="BM70" s="58">
        <v>548.55305999999996</v>
      </c>
      <c r="BN70" s="58">
        <f>IFERROR(Table6[[#This Row],[Redbook WAC price per tablet/capsule (Jan 2021)]]/Table6[[#This Row],[Redbook package strength (mg) (Jan 2021)]], "")</f>
        <v>1.0971061199999999</v>
      </c>
      <c r="BO70" s="57" t="s">
        <v>1741</v>
      </c>
      <c r="BP70" s="73" t="s">
        <v>1887</v>
      </c>
      <c r="BQ70" s="57" t="s">
        <v>1888</v>
      </c>
      <c r="BR70" s="57">
        <v>500</v>
      </c>
      <c r="BS70" s="58">
        <v>548.55305999999996</v>
      </c>
      <c r="BT70" s="58">
        <f>IFERROR(Table6[[#This Row],[Redbook WAC price per tablet/capsule (Jul 2021)]]/Table6[[#This Row],[Redbook package strength (mg) (Jul 2021)]], "")</f>
        <v>1.0971061199999999</v>
      </c>
      <c r="BU70" s="57" t="s">
        <v>1741</v>
      </c>
      <c r="BV70" s="186" t="s">
        <v>1887</v>
      </c>
      <c r="BW70" s="158" t="s">
        <v>1888</v>
      </c>
      <c r="BX70" s="57">
        <v>500</v>
      </c>
      <c r="BY70" s="58">
        <v>578.72</v>
      </c>
      <c r="BZ70" s="58">
        <f>IFERROR(Table6[[#This Row],[Redbook WAC price per tablet/capsule (Jan 2022)]]/Table6[[#This Row],[Redbook package strength (mg) (Jan 2022)]], "")</f>
        <v>1.15744</v>
      </c>
      <c r="CA70" s="74" t="s">
        <v>1741</v>
      </c>
      <c r="CB70" s="57" t="s">
        <v>1887</v>
      </c>
      <c r="CC70" s="158" t="s">
        <v>1888</v>
      </c>
      <c r="CD70" s="57">
        <v>500</v>
      </c>
      <c r="CE70" s="58">
        <v>578.72333000000003</v>
      </c>
      <c r="CF70" s="58">
        <f>IFERROR(Table6[[#This Row],[Redbook WAC price per tablet/capsule (Jul 2022)]]/Table6[[#This Row],[Redbook package strength (mg) (Jul 2022)]], "")</f>
        <v>1.15744666</v>
      </c>
      <c r="CG70" s="74" t="s">
        <v>1741</v>
      </c>
      <c r="CH70" s="57" t="s">
        <v>2380</v>
      </c>
      <c r="CI70" s="57" t="s">
        <v>1888</v>
      </c>
      <c r="CJ70" s="57">
        <v>400</v>
      </c>
      <c r="CK70" s="58">
        <v>624.44232999999997</v>
      </c>
      <c r="CL70" s="58">
        <f>IFERROR(Table6[[#This Row],[Redbook WAC price per tablet/capsule (Jan 2023)]]/Table6[[#This Row],[Redbook package strength (mg) (Jan 2023)]], "")</f>
        <v>1.5611058249999998</v>
      </c>
      <c r="CM70" s="57" t="s">
        <v>1741</v>
      </c>
      <c r="CN70" t="s">
        <v>2683</v>
      </c>
    </row>
    <row r="71" spans="1:92" x14ac:dyDescent="0.3">
      <c r="A71" s="83" t="s">
        <v>156</v>
      </c>
      <c r="B71" s="342" t="s">
        <v>2670</v>
      </c>
      <c r="C71" s="342" t="s">
        <v>1516</v>
      </c>
      <c r="D71" s="342">
        <v>2</v>
      </c>
      <c r="E71" s="342">
        <v>335.71139166699999</v>
      </c>
      <c r="F71" s="342">
        <f>IFERROR(Table6[[#This Row],[Redbook WAC price per tablet/capsule (Jan 2016)]]/Table6[[#This Row],[Redbook package strength (mg) (Jan 2016)]], "")</f>
        <v>167.85569583349999</v>
      </c>
      <c r="G71" s="351" t="s">
        <v>1741</v>
      </c>
      <c r="H71" s="342" t="s">
        <v>2670</v>
      </c>
      <c r="I71" s="342" t="s">
        <v>1516</v>
      </c>
      <c r="J71" s="342">
        <v>2</v>
      </c>
      <c r="K71" s="342">
        <v>342.42567000000003</v>
      </c>
      <c r="L71" s="57">
        <f>IFERROR(Table6[[#This Row],[Redbook WAC price per tablet/capsule (Jul 2016)]]/Table6[[#This Row],[Redbook package strength (mg) (Jul 2016)]], "")</f>
        <v>171.21283500000001</v>
      </c>
      <c r="M71" s="351" t="s">
        <v>1741</v>
      </c>
      <c r="N71" s="342" t="s">
        <v>1805</v>
      </c>
      <c r="O71" t="s">
        <v>1516</v>
      </c>
      <c r="P71" s="342">
        <v>2</v>
      </c>
      <c r="Q71" s="342">
        <v>342.42555833300003</v>
      </c>
      <c r="R71" s="57">
        <f>IFERROR(Table6[[#This Row],[Redbook WAC price per tablet/capsule (Jan 2017)]]/Table6[[#This Row],[Redbook package strength (mg) (Jan 2017)]], "")</f>
        <v>171.21277916650001</v>
      </c>
      <c r="S71" s="351" t="s">
        <v>1741</v>
      </c>
      <c r="T71" s="342" t="s">
        <v>1805</v>
      </c>
      <c r="U71" s="57" t="s">
        <v>1516</v>
      </c>
      <c r="V71" s="57">
        <v>2</v>
      </c>
      <c r="W71" s="284">
        <f>(419.12933/1.2)</f>
        <v>349.27444166666669</v>
      </c>
      <c r="X71" s="284">
        <f>IFERROR(Table6[[#This Row],[Redbook WAC price per tablet/capsule (Jul 2017)]]/Table6[[#This Row],[Redbook package strength (mg) (Jul 2017)]], "")</f>
        <v>174.63722083333334</v>
      </c>
      <c r="Y71" s="57" t="s">
        <v>1741</v>
      </c>
      <c r="Z71" s="388" t="s">
        <v>1805</v>
      </c>
      <c r="AA71" s="389" t="s">
        <v>1516</v>
      </c>
      <c r="AB71" s="158">
        <v>2</v>
      </c>
      <c r="AC71" s="390">
        <v>349.27444166666669</v>
      </c>
      <c r="AD71" s="390">
        <f>Table6[[#This Row],[Redbook WAC price per tablet/capsule (Jan 2018)]]/Table6[[#This Row],[Redbook package strength (mg) (Jan 2018)]]</f>
        <v>174.63722083333334</v>
      </c>
      <c r="AE71" s="391" t="s">
        <v>1741</v>
      </c>
      <c r="AF71" s="388" t="s">
        <v>1805</v>
      </c>
      <c r="AG71" s="389" t="s">
        <v>1516</v>
      </c>
      <c r="AH71" s="397">
        <v>2</v>
      </c>
      <c r="AI71" s="399">
        <v>359.40333333333336</v>
      </c>
      <c r="AJ71" s="399">
        <f>Table6[[#This Row],[Redbook WAC price per tablet/capsule (Jul 2018)]]/Table6[[#This Row],[Redbook package strength (mg) (Jul 2018)]]</f>
        <v>179.70166666666668</v>
      </c>
      <c r="AK71" s="391" t="s">
        <v>1741</v>
      </c>
      <c r="AL71" s="57" t="s">
        <v>1805</v>
      </c>
      <c r="AM71" s="57" t="s">
        <v>1516</v>
      </c>
      <c r="AN71" s="57">
        <v>2</v>
      </c>
      <c r="AO71" s="58">
        <v>359.4033</v>
      </c>
      <c r="AP71" s="58">
        <f>IFERROR(Table6[[#This Row],[Redbook WAC price per tablet/capsule (Jan 2019)]]/Table6[[#This Row],[Redbook package strength (mg) (Jan 2019)]], "")</f>
        <v>179.70165</v>
      </c>
      <c r="AQ71" s="74" t="s">
        <v>1741</v>
      </c>
      <c r="AR71" s="73" t="s">
        <v>1805</v>
      </c>
      <c r="AS71" s="57" t="s">
        <v>1516</v>
      </c>
      <c r="AT71" s="57">
        <v>2</v>
      </c>
      <c r="AU71" s="58">
        <v>377.37369999999999</v>
      </c>
      <c r="AV71" s="58">
        <f>IFERROR(Table6[[#This Row],[Redbook WAC price per tablet/capsule (Jul 2019)]]/Table6[[#This Row],[Redbook package strength (mg) (Jul 2019)]], "")</f>
        <v>188.68684999999999</v>
      </c>
      <c r="AW71" s="74" t="s">
        <v>1741</v>
      </c>
      <c r="AX71" s="73" t="s">
        <v>1805</v>
      </c>
      <c r="AY71" s="57" t="s">
        <v>1516</v>
      </c>
      <c r="AZ71" s="57">
        <v>2</v>
      </c>
      <c r="BA71" s="59">
        <v>377.37369999999999</v>
      </c>
      <c r="BB71" s="59">
        <f>IFERROR(Table6[[#This Row],[Redbook WAC price per tablet/capsule (Jan 2020)]]/Table6[[#This Row],[Redbook package strength (mg) (Jan 2020)]], "")</f>
        <v>188.68684999999999</v>
      </c>
      <c r="BC71" t="s">
        <v>1741</v>
      </c>
      <c r="BD71" s="73" t="s">
        <v>1805</v>
      </c>
      <c r="BE71" s="57" t="s">
        <v>1516</v>
      </c>
      <c r="BF71" s="57">
        <v>2</v>
      </c>
      <c r="BG71" s="58">
        <v>398.1293</v>
      </c>
      <c r="BH71" s="58">
        <f>IFERROR(Table6[[#This Row],[Redbook WAC price per tablet/capsule (Jul 2020)]]/Table6[[#This Row],[Redbook package strength (mg) (Jul 2020)]], "")</f>
        <v>199.06465</v>
      </c>
      <c r="BI71" s="74" t="s">
        <v>1741</v>
      </c>
      <c r="BJ71" s="57" t="s">
        <v>1805</v>
      </c>
      <c r="BK71" s="57" t="s">
        <v>1516</v>
      </c>
      <c r="BL71" s="57">
        <v>2</v>
      </c>
      <c r="BM71" s="58">
        <v>398.1293</v>
      </c>
      <c r="BN71" s="58">
        <f>IFERROR(Table6[[#This Row],[Redbook WAC price per tablet/capsule (Jan 2021)]]/Table6[[#This Row],[Redbook package strength (mg) (Jan 2021)]], "")</f>
        <v>199.06465</v>
      </c>
      <c r="BO71" s="57" t="s">
        <v>1741</v>
      </c>
      <c r="BP71" s="73" t="s">
        <v>1805</v>
      </c>
      <c r="BQ71" s="57" t="s">
        <v>1516</v>
      </c>
      <c r="BR71" s="57">
        <v>2</v>
      </c>
      <c r="BS71" s="58">
        <v>420.02638999999999</v>
      </c>
      <c r="BT71" s="58">
        <f>IFERROR(Table6[[#This Row],[Redbook WAC price per tablet/capsule (Jul 2021)]]/Table6[[#This Row],[Redbook package strength (mg) (Jul 2021)]], "")</f>
        <v>210.013195</v>
      </c>
      <c r="BU71" s="57" t="s">
        <v>1741</v>
      </c>
      <c r="BV71" s="186" t="s">
        <v>1805</v>
      </c>
      <c r="BW71" s="158" t="s">
        <v>1516</v>
      </c>
      <c r="BX71" s="57">
        <v>2</v>
      </c>
      <c r="BY71" s="58">
        <v>420.03</v>
      </c>
      <c r="BZ71" s="58">
        <f>IFERROR(Table6[[#This Row],[Redbook WAC price per tablet/capsule (Jan 2022)]]/Table6[[#This Row],[Redbook package strength (mg) (Jan 2022)]], "")</f>
        <v>210.01499999999999</v>
      </c>
      <c r="CA71" s="74" t="s">
        <v>1741</v>
      </c>
      <c r="CB71" s="57" t="s">
        <v>1805</v>
      </c>
      <c r="CC71" s="158" t="s">
        <v>1516</v>
      </c>
      <c r="CD71" s="57">
        <v>2</v>
      </c>
      <c r="CE71" s="58">
        <v>443.12767000000002</v>
      </c>
      <c r="CF71" s="247">
        <f>IFERROR(Table6[[#This Row],[Redbook WAC price per tablet/capsule (Jul 2022)]]/Table6[[#This Row],[Redbook package strength (mg) (Jul 2022)]], "")</f>
        <v>221.56383500000001</v>
      </c>
      <c r="CG71" s="74" t="s">
        <v>1741</v>
      </c>
      <c r="CH71" s="57" t="s">
        <v>2381</v>
      </c>
      <c r="CI71" s="57" t="s">
        <v>1516</v>
      </c>
      <c r="CJ71" s="57">
        <v>2</v>
      </c>
      <c r="CK71" s="58">
        <v>488.14972499999999</v>
      </c>
      <c r="CL71" s="58">
        <f>IFERROR(Table6[[#This Row],[Redbook WAC price per tablet/capsule (Jan 2023)]]/Table6[[#This Row],[Redbook package strength (mg) (Jan 2023)]], "")</f>
        <v>244.07486249999999</v>
      </c>
      <c r="CM71" s="57" t="s">
        <v>1741</v>
      </c>
    </row>
    <row r="72" spans="1:92" x14ac:dyDescent="0.3">
      <c r="A72" s="137" t="s">
        <v>157</v>
      </c>
      <c r="B72" s="57" t="s">
        <v>1903</v>
      </c>
      <c r="C72" s="57" t="s">
        <v>1895</v>
      </c>
      <c r="D72" s="57">
        <v>5</v>
      </c>
      <c r="E72" s="57">
        <v>0.28249999999999997</v>
      </c>
      <c r="F72" s="57">
        <f>IFERROR(Table6[[#This Row],[Redbook WAC price per tablet/capsule (Jan 2016)]]/Table6[[#This Row],[Redbook package strength (mg) (Jan 2016)]], "")</f>
        <v>5.6499999999999995E-2</v>
      </c>
      <c r="G72" s="74" t="s">
        <v>1741</v>
      </c>
      <c r="H72" s="57" t="s">
        <v>1903</v>
      </c>
      <c r="I72" s="57" t="s">
        <v>1895</v>
      </c>
      <c r="J72" s="57">
        <v>5</v>
      </c>
      <c r="K72" s="57">
        <v>0.17219999999999999</v>
      </c>
      <c r="L72" s="57">
        <f>IFERROR(Table6[[#This Row],[Redbook WAC price per tablet/capsule (Jul 2016)]]/Table6[[#This Row],[Redbook package strength (mg) (Jul 2016)]], "")</f>
        <v>3.4439999999999998E-2</v>
      </c>
      <c r="M72" s="74" t="s">
        <v>1741</v>
      </c>
      <c r="N72" s="57" t="s">
        <v>1903</v>
      </c>
      <c r="O72" s="57" t="s">
        <v>1895</v>
      </c>
      <c r="P72" s="57">
        <v>5</v>
      </c>
      <c r="Q72" s="57">
        <v>0.17219999999999999</v>
      </c>
      <c r="R72" s="57">
        <f>IFERROR(Table6[[#This Row],[Redbook WAC price per tablet/capsule (Jan 2017)]]/Table6[[#This Row],[Redbook package strength (mg) (Jan 2017)]], "")</f>
        <v>3.4439999999999998E-2</v>
      </c>
      <c r="S72" s="74" t="s">
        <v>1741</v>
      </c>
      <c r="T72" s="57" t="s">
        <v>1903</v>
      </c>
      <c r="U72" s="248" t="s">
        <v>1895</v>
      </c>
      <c r="V72" s="57">
        <v>5</v>
      </c>
      <c r="W72" s="284">
        <f>(0.339/1.2)</f>
        <v>0.28250000000000003</v>
      </c>
      <c r="X72" s="284">
        <f>IFERROR(Table6[[#This Row],[Redbook WAC price per tablet/capsule (Jul 2017)]]/Table6[[#This Row],[Redbook package strength (mg) (Jul 2017)]], "")</f>
        <v>5.6500000000000009E-2</v>
      </c>
      <c r="Y72" s="57" t="s">
        <v>1741</v>
      </c>
      <c r="Z72" s="388" t="s">
        <v>1903</v>
      </c>
      <c r="AA72" s="389" t="s">
        <v>1895</v>
      </c>
      <c r="AB72" s="158">
        <v>5</v>
      </c>
      <c r="AC72" s="390">
        <v>0.17219999999999999</v>
      </c>
      <c r="AD72" s="390">
        <f>Table6[[#This Row],[Redbook WAC price per tablet/capsule (Jan 2018)]]/Table6[[#This Row],[Redbook package strength (mg) (Jan 2018)]]</f>
        <v>3.4439999999999998E-2</v>
      </c>
      <c r="AE72" s="391" t="s">
        <v>1741</v>
      </c>
      <c r="AF72" s="388" t="s">
        <v>1903</v>
      </c>
      <c r="AG72" s="389" t="s">
        <v>1895</v>
      </c>
      <c r="AH72" s="397">
        <v>5</v>
      </c>
      <c r="AI72" s="399">
        <v>0.17219999999999999</v>
      </c>
      <c r="AJ72" s="399">
        <f>Table6[[#This Row],[Redbook WAC price per tablet/capsule (Jul 2018)]]/Table6[[#This Row],[Redbook package strength (mg) (Jul 2018)]]</f>
        <v>3.4439999999999998E-2</v>
      </c>
      <c r="AK72" s="391" t="s">
        <v>1741</v>
      </c>
      <c r="AL72" s="57" t="s">
        <v>1903</v>
      </c>
      <c r="AM72" s="57" t="s">
        <v>1895</v>
      </c>
      <c r="AN72" s="57">
        <v>5</v>
      </c>
      <c r="AO72" s="58">
        <v>0.17219999999999999</v>
      </c>
      <c r="AP72" s="58">
        <f>IFERROR(Table6[[#This Row],[Redbook WAC price per tablet/capsule (Jan 2019)]]/Table6[[#This Row],[Redbook package strength (mg) (Jan 2019)]], "")</f>
        <v>3.4439999999999998E-2</v>
      </c>
      <c r="AQ72" s="74" t="s">
        <v>1741</v>
      </c>
      <c r="AR72" s="73" t="s">
        <v>1903</v>
      </c>
      <c r="AS72" s="57" t="s">
        <v>1895</v>
      </c>
      <c r="AT72" s="57">
        <v>5</v>
      </c>
      <c r="AU72" s="58">
        <v>0.17219999999999999</v>
      </c>
      <c r="AV72" s="58">
        <f>IFERROR(Table6[[#This Row],[Redbook WAC price per tablet/capsule (Jul 2019)]]/Table6[[#This Row],[Redbook package strength (mg) (Jul 2019)]], "")</f>
        <v>3.4439999999999998E-2</v>
      </c>
      <c r="AW72" s="74" t="s">
        <v>1741</v>
      </c>
      <c r="AX72" s="73" t="s">
        <v>1903</v>
      </c>
      <c r="AY72" s="57" t="s">
        <v>1895</v>
      </c>
      <c r="AZ72" s="57">
        <v>5</v>
      </c>
      <c r="BA72" s="58">
        <v>0.17219999999999999</v>
      </c>
      <c r="BB72" s="59">
        <f>IFERROR(Table6[[#This Row],[Redbook WAC price per tablet/capsule (Jan 2020)]]/Table6[[#This Row],[Redbook package strength (mg) (Jan 2020)]], "")</f>
        <v>3.4439999999999998E-2</v>
      </c>
      <c r="BC72" t="s">
        <v>1741</v>
      </c>
      <c r="BD72" s="73" t="s">
        <v>1904</v>
      </c>
      <c r="BE72" s="57" t="s">
        <v>1895</v>
      </c>
      <c r="BF72" s="57">
        <v>10</v>
      </c>
      <c r="BG72" s="58">
        <v>0.2858</v>
      </c>
      <c r="BH72" s="58">
        <f>IFERROR(Table6[[#This Row],[Redbook WAC price per tablet/capsule (Jul 2020)]]/Table6[[#This Row],[Redbook package strength (mg) (Jul 2020)]], "")</f>
        <v>2.8580000000000001E-2</v>
      </c>
      <c r="BI72" s="74" t="s">
        <v>1741</v>
      </c>
      <c r="BJ72" s="57" t="s">
        <v>2062</v>
      </c>
      <c r="BK72" s="57" t="s">
        <v>1895</v>
      </c>
      <c r="BL72" s="57">
        <v>5</v>
      </c>
      <c r="BM72" s="58">
        <v>0.51700000000000002</v>
      </c>
      <c r="BN72" s="58">
        <f>IFERROR(Table6[[#This Row],[Redbook WAC price per tablet/capsule (Jan 2021)]]/Table6[[#This Row],[Redbook package strength (mg) (Jan 2021)]], "")</f>
        <v>0.10340000000000001</v>
      </c>
      <c r="BO72" s="57" t="s">
        <v>1741</v>
      </c>
      <c r="BP72" s="73" t="s">
        <v>2062</v>
      </c>
      <c r="BQ72" s="57" t="s">
        <v>1895</v>
      </c>
      <c r="BR72" s="57">
        <v>5</v>
      </c>
      <c r="BS72" s="58">
        <v>0.51700000000000002</v>
      </c>
      <c r="BT72" s="58">
        <f>IFERROR(Table6[[#This Row],[Redbook WAC price per tablet/capsule (Jul 2021)]]/Table6[[#This Row],[Redbook package strength (mg) (Jul 2021)]], "")</f>
        <v>0.10340000000000001</v>
      </c>
      <c r="BU72" s="57" t="s">
        <v>1741</v>
      </c>
      <c r="BV72" s="186" t="s">
        <v>2062</v>
      </c>
      <c r="BW72" s="158" t="s">
        <v>1895</v>
      </c>
      <c r="BX72" s="57">
        <v>5</v>
      </c>
      <c r="BY72" s="58">
        <v>0.51700000000000002</v>
      </c>
      <c r="BZ72" s="58">
        <f>IFERROR(Table6[[#This Row],[Redbook WAC price per tablet/capsule (Jan 2022)]]/Table6[[#This Row],[Redbook package strength (mg) (Jan 2022)]], "")</f>
        <v>0.10340000000000001</v>
      </c>
      <c r="CA72" s="74" t="s">
        <v>1741</v>
      </c>
      <c r="CB72" s="57" t="s">
        <v>2062</v>
      </c>
      <c r="CC72" s="158" t="s">
        <v>1895</v>
      </c>
      <c r="CD72" s="57">
        <v>5</v>
      </c>
      <c r="CE72" s="58">
        <v>0.51700000000000002</v>
      </c>
      <c r="CF72" s="58">
        <f>IFERROR(Table6[[#This Row],[Redbook WAC price per tablet/capsule (Jul 2022)]]/Table6[[#This Row],[Redbook package strength (mg) (Jul 2022)]], "")</f>
        <v>0.10340000000000001</v>
      </c>
      <c r="CG72" s="74" t="s">
        <v>1741</v>
      </c>
      <c r="CH72" t="s">
        <v>2062</v>
      </c>
      <c r="CI72" s="158" t="s">
        <v>1895</v>
      </c>
      <c r="CJ72" s="57">
        <v>5</v>
      </c>
      <c r="CK72" s="59">
        <v>0.51700000000000002</v>
      </c>
      <c r="CL72" s="58">
        <f>IFERROR(Table6[[#This Row],[Redbook WAC price per tablet/capsule (Jan 2023)]]/Table6[[#This Row],[Redbook package strength (mg) (Jan 2023)]], "")</f>
        <v>0.10340000000000001</v>
      </c>
      <c r="CM72" s="57" t="s">
        <v>1741</v>
      </c>
      <c r="CN72" t="s">
        <v>2450</v>
      </c>
    </row>
    <row r="73" spans="1:92" x14ac:dyDescent="0.3">
      <c r="A73" s="83" t="s">
        <v>159</v>
      </c>
      <c r="B73" s="57"/>
      <c r="C73" s="57"/>
      <c r="D73" s="57"/>
      <c r="E73" s="57"/>
      <c r="F73" s="57" t="str">
        <f>IFERROR(Table6[[#This Row],[Redbook WAC price per tablet/capsule (Jan 2016)]]/Table6[[#This Row],[Redbook package strength (mg) (Jan 2016)]], "")</f>
        <v/>
      </c>
      <c r="G73" s="74"/>
      <c r="H73" s="57"/>
      <c r="I73" s="57"/>
      <c r="J73" s="57"/>
      <c r="K73" s="57"/>
      <c r="L73" s="57" t="str">
        <f>IFERROR(Table6[[#This Row],[Redbook WAC price per tablet/capsule (Jul 2016)]]/Table6[[#This Row],[Redbook package strength (mg) (Jul 2016)]], "")</f>
        <v/>
      </c>
      <c r="M73" s="74"/>
      <c r="P73" s="57"/>
      <c r="Q73" s="57"/>
      <c r="R73" s="57" t="str">
        <f>IFERROR(Table6[[#This Row],[Redbook WAC price per tablet/capsule (Jan 2017)]]/Table6[[#This Row],[Redbook package strength (mg) (Jan 2017)]], "")</f>
        <v/>
      </c>
      <c r="S73" s="74"/>
      <c r="T73" s="57"/>
      <c r="U73" s="57"/>
      <c r="V73" s="57"/>
      <c r="W73" s="284"/>
      <c r="X73" s="284" t="str">
        <f>IFERROR(Table6[[#This Row],[Redbook WAC price per tablet/capsule (Jul 2017)]]/Table6[[#This Row],[Redbook package strength (mg) (Jul 2017)]], "")</f>
        <v/>
      </c>
      <c r="Y73" s="57"/>
      <c r="Z73" s="388"/>
      <c r="AA73" s="389"/>
      <c r="AB73" s="158"/>
      <c r="AC73" s="390"/>
      <c r="AD73" s="390"/>
      <c r="AE73" s="391"/>
      <c r="AF73" s="388"/>
      <c r="AG73" s="389"/>
      <c r="AH73" s="397"/>
      <c r="AI73" s="399"/>
      <c r="AJ73" s="399"/>
      <c r="AK73" s="391"/>
      <c r="AL73" s="57" t="s">
        <v>1762</v>
      </c>
      <c r="AM73" s="57" t="s">
        <v>1517</v>
      </c>
      <c r="AN73" s="57">
        <v>15</v>
      </c>
      <c r="AO73" s="58">
        <v>60.9833</v>
      </c>
      <c r="AP73" s="58">
        <f>IFERROR(Table6[[#This Row],[Redbook WAC price per tablet/capsule (Jan 2019)]]/Table6[[#This Row],[Redbook package strength (mg) (Jan 2019)]], "")</f>
        <v>4.0655533333333329</v>
      </c>
      <c r="AQ73" s="74" t="s">
        <v>1741</v>
      </c>
      <c r="AR73" s="73" t="s">
        <v>1762</v>
      </c>
      <c r="AS73" s="57" t="s">
        <v>1517</v>
      </c>
      <c r="AT73" s="57">
        <v>15</v>
      </c>
      <c r="AU73" s="58">
        <v>63.883299999999998</v>
      </c>
      <c r="AV73" s="58">
        <f>IFERROR(Table6[[#This Row],[Redbook WAC price per tablet/capsule (Jul 2019)]]/Table6[[#This Row],[Redbook package strength (mg) (Jul 2019)]], "")</f>
        <v>4.2588866666666663</v>
      </c>
      <c r="AW73" s="74" t="s">
        <v>1741</v>
      </c>
      <c r="AX73" s="73" t="s">
        <v>1762</v>
      </c>
      <c r="AY73" s="57" t="s">
        <v>1517</v>
      </c>
      <c r="AZ73" s="57">
        <v>15</v>
      </c>
      <c r="BA73" s="59">
        <v>66.438699999999997</v>
      </c>
      <c r="BB73" s="59">
        <f>IFERROR(Table6[[#This Row],[Redbook WAC price per tablet/capsule (Jan 2020)]]/Table6[[#This Row],[Redbook package strength (mg) (Jan 2020)]], "")</f>
        <v>4.4292466666666668</v>
      </c>
      <c r="BC73" t="s">
        <v>1741</v>
      </c>
      <c r="BD73" s="73" t="s">
        <v>1762</v>
      </c>
      <c r="BE73" s="57" t="s">
        <v>1517</v>
      </c>
      <c r="BF73" s="57">
        <v>15</v>
      </c>
      <c r="BG73" s="58">
        <v>66.438699999999997</v>
      </c>
      <c r="BH73" s="58">
        <f>IFERROR(Table6[[#This Row],[Redbook WAC price per tablet/capsule (Jul 2020)]]/Table6[[#This Row],[Redbook package strength (mg) (Jul 2020)]], "")</f>
        <v>4.4292466666666668</v>
      </c>
      <c r="BI73" s="74" t="s">
        <v>1741</v>
      </c>
      <c r="BJ73" s="57" t="s">
        <v>1762</v>
      </c>
      <c r="BK73" s="57" t="s">
        <v>1517</v>
      </c>
      <c r="BL73" s="57">
        <v>15</v>
      </c>
      <c r="BM73" s="58">
        <v>69.096199999999996</v>
      </c>
      <c r="BN73" s="58">
        <f>IFERROR(Table6[[#This Row],[Redbook WAC price per tablet/capsule (Jan 2021)]]/Table6[[#This Row],[Redbook package strength (mg) (Jan 2021)]], "")</f>
        <v>4.6064133333333332</v>
      </c>
      <c r="BO73" s="57" t="s">
        <v>1741</v>
      </c>
      <c r="BP73" s="73" t="s">
        <v>1762</v>
      </c>
      <c r="BQ73" s="57" t="s">
        <v>1517</v>
      </c>
      <c r="BR73" s="57">
        <v>15</v>
      </c>
      <c r="BS73" s="58">
        <v>69.096199999999996</v>
      </c>
      <c r="BT73" s="58">
        <f>IFERROR(Table6[[#This Row],[Redbook WAC price per tablet/capsule (Jul 2021)]]/Table6[[#This Row],[Redbook package strength (mg) (Jul 2021)]], "")</f>
        <v>4.6064133333333332</v>
      </c>
      <c r="BU73" s="57" t="s">
        <v>1741</v>
      </c>
      <c r="BV73" s="186" t="s">
        <v>1762</v>
      </c>
      <c r="BW73" s="158" t="s">
        <v>1517</v>
      </c>
      <c r="BX73" s="57">
        <v>15</v>
      </c>
      <c r="BY73" s="58">
        <v>72.896500000000003</v>
      </c>
      <c r="BZ73" s="58">
        <f>IFERROR(Table6[[#This Row],[Redbook WAC price per tablet/capsule (Jan 2022)]]/Table6[[#This Row],[Redbook package strength (mg) (Jan 2022)]], "")</f>
        <v>4.8597666666666672</v>
      </c>
      <c r="CA73" s="74" t="s">
        <v>1741</v>
      </c>
      <c r="CB73" s="57" t="s">
        <v>1762</v>
      </c>
      <c r="CC73" s="158" t="s">
        <v>1517</v>
      </c>
      <c r="CD73" s="57">
        <v>15</v>
      </c>
      <c r="CE73" s="58">
        <v>72.896500000000003</v>
      </c>
      <c r="CF73" s="58">
        <f>IFERROR(Table6[[#This Row],[Redbook WAC price per tablet/capsule (Jul 2022)]]/Table6[[#This Row],[Redbook package strength (mg) (Jul 2022)]], "")</f>
        <v>4.8597666666666672</v>
      </c>
      <c r="CG73" s="74" t="s">
        <v>1741</v>
      </c>
      <c r="CH73" s="57" t="s">
        <v>1762</v>
      </c>
      <c r="CI73" s="57" t="s">
        <v>1517</v>
      </c>
      <c r="CJ73" s="57">
        <v>15</v>
      </c>
      <c r="CK73" s="58">
        <v>78.655330000000006</v>
      </c>
      <c r="CL73" s="58">
        <f>IFERROR(Table6[[#This Row],[Redbook WAC price per tablet/capsule (Jan 2023)]]/Table6[[#This Row],[Redbook package strength (mg) (Jan 2023)]], "")</f>
        <v>5.2436886666666673</v>
      </c>
      <c r="CM73" s="57" t="s">
        <v>1741</v>
      </c>
    </row>
    <row r="74" spans="1:92" x14ac:dyDescent="0.3">
      <c r="A74" s="85" t="s">
        <v>162</v>
      </c>
      <c r="B74" s="57" t="s">
        <v>1790</v>
      </c>
      <c r="C74" s="57" t="s">
        <v>1518</v>
      </c>
      <c r="D74" s="57">
        <v>20</v>
      </c>
      <c r="E74" s="57">
        <v>96.218383333299997</v>
      </c>
      <c r="F74" s="57">
        <f>IFERROR(Table6[[#This Row],[Redbook WAC price per tablet/capsule (Jan 2016)]]/Table6[[#This Row],[Redbook package strength (mg) (Jan 2016)]], "")</f>
        <v>4.8109191666650002</v>
      </c>
      <c r="G74" s="74" t="s">
        <v>1741</v>
      </c>
      <c r="H74" t="s">
        <v>1790</v>
      </c>
      <c r="I74" t="s">
        <v>2684</v>
      </c>
      <c r="J74">
        <v>20</v>
      </c>
      <c r="K74">
        <v>96.218383333299997</v>
      </c>
      <c r="L74" s="57">
        <f>IFERROR(Table6[[#This Row],[Redbook WAC price per tablet/capsule (Jul 2016)]]/Table6[[#This Row],[Redbook package strength (mg) (Jul 2016)]], "")</f>
        <v>4.8109191666650002</v>
      </c>
      <c r="M74" s="74" t="s">
        <v>1741</v>
      </c>
      <c r="N74" s="57" t="s">
        <v>1790</v>
      </c>
      <c r="O74" s="57" t="s">
        <v>1518</v>
      </c>
      <c r="P74" s="57">
        <v>20</v>
      </c>
      <c r="Q74" s="57">
        <v>103.915875</v>
      </c>
      <c r="R74" s="57">
        <f>IFERROR(Table6[[#This Row],[Redbook WAC price per tablet/capsule (Jan 2017)]]/Table6[[#This Row],[Redbook package strength (mg) (Jan 2017)]], "")</f>
        <v>5.19579375</v>
      </c>
      <c r="S74" s="74" t="s">
        <v>1741</v>
      </c>
      <c r="T74" s="57" t="s">
        <v>1790</v>
      </c>
      <c r="U74" s="57" t="s">
        <v>1518</v>
      </c>
      <c r="V74" s="57">
        <v>20</v>
      </c>
      <c r="W74" s="284">
        <f>(124.69905/1.2)</f>
        <v>103.915875</v>
      </c>
      <c r="X74" s="284">
        <f>IFERROR(Table6[[#This Row],[Redbook WAC price per tablet/capsule (Jul 2017)]]/Table6[[#This Row],[Redbook package strength (mg) (Jul 2017)]], "")</f>
        <v>5.19579375</v>
      </c>
      <c r="Y74" s="57" t="s">
        <v>1741</v>
      </c>
      <c r="Z74" s="388" t="s">
        <v>1790</v>
      </c>
      <c r="AA74" s="389" t="s">
        <v>1518</v>
      </c>
      <c r="AB74" s="158">
        <v>20</v>
      </c>
      <c r="AC74" s="390">
        <v>103.915875</v>
      </c>
      <c r="AD74" s="390">
        <f>Table6[[#This Row],[Redbook WAC price per tablet/capsule (Jan 2018)]]/Table6[[#This Row],[Redbook package strength (mg) (Jan 2018)]]</f>
        <v>5.19579375</v>
      </c>
      <c r="AE74" s="391" t="s">
        <v>1741</v>
      </c>
      <c r="AF74" s="388" t="s">
        <v>1790</v>
      </c>
      <c r="AG74" s="389" t="s">
        <v>1518</v>
      </c>
      <c r="AH74" s="397">
        <v>20</v>
      </c>
      <c r="AI74" s="399">
        <v>111.18995000000001</v>
      </c>
      <c r="AJ74" s="399">
        <f>Table6[[#This Row],[Redbook WAC price per tablet/capsule (Jul 2018)]]/Table6[[#This Row],[Redbook package strength (mg) (Jul 2018)]]</f>
        <v>5.5594975000000009</v>
      </c>
      <c r="AK74" s="391" t="s">
        <v>1741</v>
      </c>
      <c r="AL74" s="57" t="s">
        <v>1790</v>
      </c>
      <c r="AM74" s="57" t="s">
        <v>1518</v>
      </c>
      <c r="AN74" s="57">
        <v>20</v>
      </c>
      <c r="AO74" s="58">
        <v>111.19</v>
      </c>
      <c r="AP74" s="58">
        <f>IFERROR(Table6[[#This Row],[Redbook WAC price per tablet/capsule (Jan 2019)]]/Table6[[#This Row],[Redbook package strength (mg) (Jan 2019)]], "")</f>
        <v>5.5594999999999999</v>
      </c>
      <c r="AQ74" s="74" t="s">
        <v>1741</v>
      </c>
      <c r="AR74" s="73" t="s">
        <v>1790</v>
      </c>
      <c r="AS74" s="57" t="s">
        <v>1518</v>
      </c>
      <c r="AT74" s="57">
        <v>20</v>
      </c>
      <c r="AU74" s="58">
        <v>111.19</v>
      </c>
      <c r="AV74" s="58">
        <f>IFERROR(Table6[[#This Row],[Redbook WAC price per tablet/capsule (Jul 2019)]]/Table6[[#This Row],[Redbook package strength (mg) (Jul 2019)]], "")</f>
        <v>5.5594999999999999</v>
      </c>
      <c r="AW74" s="74" t="s">
        <v>1741</v>
      </c>
      <c r="AX74" s="73" t="s">
        <v>1790</v>
      </c>
      <c r="AY74" s="57" t="s">
        <v>1518</v>
      </c>
      <c r="AZ74" s="57">
        <v>20</v>
      </c>
      <c r="BA74" s="59">
        <v>111.19</v>
      </c>
      <c r="BB74" s="59">
        <f>IFERROR(Table6[[#This Row],[Redbook WAC price per tablet/capsule (Jan 2020)]]/Table6[[#This Row],[Redbook package strength (mg) (Jan 2020)]], "")</f>
        <v>5.5594999999999999</v>
      </c>
      <c r="BC74" t="s">
        <v>1741</v>
      </c>
      <c r="BD74" s="73" t="s">
        <v>1790</v>
      </c>
      <c r="BE74" s="57" t="s">
        <v>1518</v>
      </c>
      <c r="BF74" s="57">
        <v>20</v>
      </c>
      <c r="BG74" s="58">
        <v>111.19</v>
      </c>
      <c r="BH74" s="58">
        <f>IFERROR(Table6[[#This Row],[Redbook WAC price per tablet/capsule (Jul 2020)]]/Table6[[#This Row],[Redbook package strength (mg) (Jul 2020)]], "")</f>
        <v>5.5594999999999999</v>
      </c>
      <c r="BI74" s="74" t="s">
        <v>1741</v>
      </c>
      <c r="BJ74" s="57" t="s">
        <v>1790</v>
      </c>
      <c r="BK74" s="57" t="s">
        <v>1518</v>
      </c>
      <c r="BL74" s="57">
        <v>20</v>
      </c>
      <c r="BM74" s="58">
        <v>111.19</v>
      </c>
      <c r="BN74" s="58">
        <f>IFERROR(Table6[[#This Row],[Redbook WAC price per tablet/capsule (Jan 2021)]]/Table6[[#This Row],[Redbook package strength (mg) (Jan 2021)]], "")</f>
        <v>5.5594999999999999</v>
      </c>
      <c r="BO74" s="57" t="s">
        <v>1741</v>
      </c>
      <c r="BP74" s="73" t="s">
        <v>1790</v>
      </c>
      <c r="BQ74" s="57" t="s">
        <v>1518</v>
      </c>
      <c r="BR74" s="57">
        <v>20</v>
      </c>
      <c r="BS74" s="58">
        <v>111.19</v>
      </c>
      <c r="BT74" s="58">
        <f>IFERROR(Table6[[#This Row],[Redbook WAC price per tablet/capsule (Jul 2021)]]/Table6[[#This Row],[Redbook package strength (mg) (Jul 2021)]], "")</f>
        <v>5.5594999999999999</v>
      </c>
      <c r="BU74" s="57" t="s">
        <v>1741</v>
      </c>
      <c r="BV74" s="186" t="s">
        <v>1790</v>
      </c>
      <c r="BW74" s="158" t="s">
        <v>1518</v>
      </c>
      <c r="BX74" s="57">
        <v>20</v>
      </c>
      <c r="BY74" s="58">
        <v>111.19</v>
      </c>
      <c r="BZ74" s="58">
        <f>IFERROR(Table6[[#This Row],[Redbook WAC price per tablet/capsule (Jan 2022)]]/Table6[[#This Row],[Redbook package strength (mg) (Jan 2022)]], "")</f>
        <v>5.5594999999999999</v>
      </c>
      <c r="CA74" s="74" t="s">
        <v>1741</v>
      </c>
      <c r="CB74" s="57" t="s">
        <v>1790</v>
      </c>
      <c r="CC74" s="158" t="s">
        <v>1518</v>
      </c>
      <c r="CD74" s="57">
        <v>20</v>
      </c>
      <c r="CE74" s="58">
        <v>116.74952</v>
      </c>
      <c r="CF74" s="247">
        <f>IFERROR(Table6[[#This Row],[Redbook WAC price per tablet/capsule (Jul 2022)]]/Table6[[#This Row],[Redbook package strength (mg) (Jul 2022)]], "")</f>
        <v>5.8374760000000006</v>
      </c>
      <c r="CG74" s="74" t="s">
        <v>1741</v>
      </c>
      <c r="CH74" s="57" t="s">
        <v>1790</v>
      </c>
      <c r="CI74" s="57" t="s">
        <v>1518</v>
      </c>
      <c r="CJ74" s="57">
        <v>20</v>
      </c>
      <c r="CK74" s="58">
        <v>122.00317</v>
      </c>
      <c r="CL74" s="58">
        <f>IFERROR(Table6[[#This Row],[Redbook WAC price per tablet/capsule (Jan 2023)]]/Table6[[#This Row],[Redbook package strength (mg) (Jan 2023)]], "")</f>
        <v>6.1001585</v>
      </c>
      <c r="CM74" s="57" t="s">
        <v>1741</v>
      </c>
    </row>
    <row r="75" spans="1:92" x14ac:dyDescent="0.3">
      <c r="A75" s="83" t="s">
        <v>165</v>
      </c>
      <c r="B75" t="s">
        <v>1791</v>
      </c>
      <c r="C75" t="s">
        <v>1519</v>
      </c>
      <c r="D75">
        <v>500</v>
      </c>
      <c r="E75">
        <v>0.56000000000000005</v>
      </c>
      <c r="F75">
        <f>IFERROR(Table6[[#This Row],[Redbook WAC price per tablet/capsule (Jan 2016)]]/Table6[[#This Row],[Redbook package strength (mg) (Jan 2016)]], "")</f>
        <v>1.1200000000000001E-3</v>
      </c>
      <c r="G75" s="74" t="s">
        <v>1741</v>
      </c>
      <c r="H75" s="57" t="s">
        <v>1791</v>
      </c>
      <c r="I75" s="57" t="s">
        <v>1519</v>
      </c>
      <c r="J75" s="57">
        <v>500</v>
      </c>
      <c r="K75" s="57">
        <v>0.56000000000000005</v>
      </c>
      <c r="L75" s="57">
        <f>IFERROR(Table6[[#This Row],[Redbook WAC price per tablet/capsule (Jul 2016)]]/Table6[[#This Row],[Redbook package strength (mg) (Jul 2016)]], "")</f>
        <v>1.1200000000000001E-3</v>
      </c>
      <c r="M75" s="74" t="s">
        <v>1741</v>
      </c>
      <c r="N75" t="s">
        <v>1791</v>
      </c>
      <c r="O75" s="57" t="s">
        <v>1519</v>
      </c>
      <c r="P75" s="57">
        <v>500</v>
      </c>
      <c r="Q75" s="57">
        <v>0.56000000000000005</v>
      </c>
      <c r="R75" s="57">
        <f>IFERROR(Table6[[#This Row],[Redbook WAC price per tablet/capsule (Jan 2017)]]/Table6[[#This Row],[Redbook package strength (mg) (Jan 2017)]], "")</f>
        <v>1.1200000000000001E-3</v>
      </c>
      <c r="S75" s="74" t="s">
        <v>1741</v>
      </c>
      <c r="T75" t="s">
        <v>1791</v>
      </c>
      <c r="U75" s="57" t="s">
        <v>1519</v>
      </c>
      <c r="V75" s="57">
        <v>500</v>
      </c>
      <c r="W75" s="284">
        <v>0.56000000000000005</v>
      </c>
      <c r="X75" s="284">
        <f>IFERROR(Table6[[#This Row],[Redbook WAC price per tablet/capsule (Jul 2017)]]/Table6[[#This Row],[Redbook package strength (mg) (Jul 2017)]], "")</f>
        <v>1.1200000000000001E-3</v>
      </c>
      <c r="Y75" s="57" t="s">
        <v>1741</v>
      </c>
      <c r="Z75" s="388" t="s">
        <v>1791</v>
      </c>
      <c r="AA75" s="389" t="s">
        <v>1519</v>
      </c>
      <c r="AB75" s="158">
        <v>500</v>
      </c>
      <c r="AC75" s="390">
        <v>0.56000000000000005</v>
      </c>
      <c r="AD75" s="390">
        <f>Table6[[#This Row],[Redbook WAC price per tablet/capsule (Jan 2018)]]/Table6[[#This Row],[Redbook package strength (mg) (Jan 2018)]]</f>
        <v>1.1200000000000001E-3</v>
      </c>
      <c r="AE75" s="391" t="s">
        <v>1741</v>
      </c>
      <c r="AF75" s="388" t="s">
        <v>1791</v>
      </c>
      <c r="AG75" s="389" t="s">
        <v>1519</v>
      </c>
      <c r="AH75" s="397">
        <v>500</v>
      </c>
      <c r="AI75" s="399">
        <v>0.56000000000000005</v>
      </c>
      <c r="AJ75" s="399">
        <f>Table6[[#This Row],[Redbook WAC price per tablet/capsule (Jul 2018)]]/Table6[[#This Row],[Redbook package strength (mg) (Jul 2018)]]</f>
        <v>1.1200000000000001E-3</v>
      </c>
      <c r="AK75" s="391" t="s">
        <v>1741</v>
      </c>
      <c r="AL75" s="57" t="s">
        <v>1791</v>
      </c>
      <c r="AM75" s="57" t="s">
        <v>1519</v>
      </c>
      <c r="AN75" s="57">
        <v>500</v>
      </c>
      <c r="AO75" s="58">
        <v>0.56000000000000005</v>
      </c>
      <c r="AP75" s="58">
        <f>IFERROR(Table6[[#This Row],[Redbook WAC price per tablet/capsule (Jan 2019)]]/Table6[[#This Row],[Redbook package strength (mg) (Jan 2019)]], "")</f>
        <v>1.1200000000000001E-3</v>
      </c>
      <c r="AQ75" s="74" t="s">
        <v>1741</v>
      </c>
      <c r="AR75" s="73" t="s">
        <v>1791</v>
      </c>
      <c r="AS75" s="57" t="s">
        <v>1519</v>
      </c>
      <c r="AT75" s="57">
        <v>500</v>
      </c>
      <c r="AU75" s="58">
        <v>0.56000000000000005</v>
      </c>
      <c r="AV75" s="58">
        <f>IFERROR(Table6[[#This Row],[Redbook WAC price per tablet/capsule (Jul 2019)]]/Table6[[#This Row],[Redbook package strength (mg) (Jul 2019)]], "")</f>
        <v>1.1200000000000001E-3</v>
      </c>
      <c r="AW75" s="74" t="s">
        <v>1741</v>
      </c>
      <c r="AX75" s="73" t="s">
        <v>1791</v>
      </c>
      <c r="AY75" s="57" t="s">
        <v>1519</v>
      </c>
      <c r="AZ75" s="57">
        <v>500</v>
      </c>
      <c r="BA75" s="59">
        <v>0.56000000000000005</v>
      </c>
      <c r="BB75" s="59">
        <f>IFERROR(Table6[[#This Row],[Redbook WAC price per tablet/capsule (Jan 2020)]]/Table6[[#This Row],[Redbook package strength (mg) (Jan 2020)]], "")</f>
        <v>1.1200000000000001E-3</v>
      </c>
      <c r="BC75" t="s">
        <v>1741</v>
      </c>
      <c r="BD75" s="73" t="s">
        <v>1791</v>
      </c>
      <c r="BE75" s="57" t="s">
        <v>1519</v>
      </c>
      <c r="BF75" s="57">
        <v>500</v>
      </c>
      <c r="BG75" s="58">
        <v>0.56000000000000005</v>
      </c>
      <c r="BH75" s="92">
        <f>IFERROR(Table6[[#This Row],[Redbook WAC price per tablet/capsule (Jul 2020)]]/Table6[[#This Row],[Redbook package strength (mg) (Jul 2020)]], "")</f>
        <v>1.1200000000000001E-3</v>
      </c>
      <c r="BI75" s="74" t="s">
        <v>1741</v>
      </c>
      <c r="BJ75" s="57" t="s">
        <v>1791</v>
      </c>
      <c r="BK75" s="57" t="s">
        <v>1519</v>
      </c>
      <c r="BL75" s="57">
        <v>500</v>
      </c>
      <c r="BM75" s="58">
        <v>0.56000000000000005</v>
      </c>
      <c r="BN75" s="58">
        <f>IFERROR(Table6[[#This Row],[Redbook WAC price per tablet/capsule (Jan 2021)]]/Table6[[#This Row],[Redbook package strength (mg) (Jan 2021)]], "")</f>
        <v>1.1200000000000001E-3</v>
      </c>
      <c r="BO75" s="57" t="s">
        <v>1741</v>
      </c>
      <c r="BP75" s="73" t="s">
        <v>1791</v>
      </c>
      <c r="BQ75" s="57" t="s">
        <v>1519</v>
      </c>
      <c r="BR75" s="57">
        <v>500</v>
      </c>
      <c r="BS75" s="58">
        <v>0.56000000000000005</v>
      </c>
      <c r="BT75" s="58">
        <f>IFERROR(Table6[[#This Row],[Redbook WAC price per tablet/capsule (Jul 2021)]]/Table6[[#This Row],[Redbook package strength (mg) (Jul 2021)]], "")</f>
        <v>1.1200000000000001E-3</v>
      </c>
      <c r="BU75" s="57" t="s">
        <v>1741</v>
      </c>
      <c r="BV75" s="186" t="s">
        <v>1791</v>
      </c>
      <c r="BW75" s="158" t="s">
        <v>1519</v>
      </c>
      <c r="BX75" s="57">
        <v>500</v>
      </c>
      <c r="BY75" s="58">
        <v>0.56000000000000005</v>
      </c>
      <c r="BZ75" s="58">
        <f>IFERROR(Table6[[#This Row],[Redbook WAC price per tablet/capsule (Jan 2022)]]/Table6[[#This Row],[Redbook package strength (mg) (Jan 2022)]], "")</f>
        <v>1.1200000000000001E-3</v>
      </c>
      <c r="CA75" s="74" t="s">
        <v>1741</v>
      </c>
      <c r="CB75" s="57" t="s">
        <v>1791</v>
      </c>
      <c r="CC75" s="158" t="s">
        <v>1519</v>
      </c>
      <c r="CD75" s="57">
        <v>500</v>
      </c>
      <c r="CE75" s="58">
        <v>0.56000000000000005</v>
      </c>
      <c r="CF75" s="58">
        <f>IFERROR(Table6[[#This Row],[Redbook WAC price per tablet/capsule (Jul 2022)]]/Table6[[#This Row],[Redbook package strength (mg) (Jul 2022)]], "")</f>
        <v>1.1200000000000001E-3</v>
      </c>
      <c r="CG75" s="74" t="s">
        <v>1741</v>
      </c>
      <c r="CH75" s="57" t="s">
        <v>1791</v>
      </c>
      <c r="CI75" s="158" t="s">
        <v>1519</v>
      </c>
      <c r="CJ75" s="57">
        <v>500</v>
      </c>
      <c r="CK75" s="58">
        <v>0.56000000000000005</v>
      </c>
      <c r="CL75" s="58">
        <f>IFERROR(Table6[[#This Row],[Redbook WAC price per tablet/capsule (Jan 2023)]]/Table6[[#This Row],[Redbook package strength (mg) (Jan 2023)]], "")</f>
        <v>1.1200000000000001E-3</v>
      </c>
      <c r="CM75" s="57" t="s">
        <v>1741</v>
      </c>
    </row>
    <row r="76" spans="1:92" x14ac:dyDescent="0.3">
      <c r="A76" s="85" t="s">
        <v>166</v>
      </c>
      <c r="B76" s="57" t="s">
        <v>1806</v>
      </c>
      <c r="C76" s="57" t="s">
        <v>2682</v>
      </c>
      <c r="D76" s="57">
        <v>200</v>
      </c>
      <c r="E76" s="57">
        <v>315.83929000000001</v>
      </c>
      <c r="F76" s="57">
        <f>IFERROR(Table6[[#This Row],[Redbook WAC price per tablet/capsule (Jan 2016)]]/Table6[[#This Row],[Redbook package strength (mg) (Jan 2016)]], "")</f>
        <v>1.57919645</v>
      </c>
      <c r="G76" s="74" t="s">
        <v>1741</v>
      </c>
      <c r="H76" s="57" t="s">
        <v>1806</v>
      </c>
      <c r="I76" s="57" t="s">
        <v>2682</v>
      </c>
      <c r="J76" s="57">
        <v>200</v>
      </c>
      <c r="K76" s="57">
        <v>315.83929000000001</v>
      </c>
      <c r="L76" s="57">
        <f>IFERROR(Table6[[#This Row],[Redbook WAC price per tablet/capsule (Jul 2016)]]/Table6[[#This Row],[Redbook package strength (mg) (Jul 2016)]], "")</f>
        <v>1.57919645</v>
      </c>
      <c r="M76" s="74" t="s">
        <v>1741</v>
      </c>
      <c r="N76" s="57" t="s">
        <v>1806</v>
      </c>
      <c r="O76" s="57" t="s">
        <v>2682</v>
      </c>
      <c r="P76" s="57">
        <v>200</v>
      </c>
      <c r="Q76" s="57">
        <v>315.83929000000001</v>
      </c>
      <c r="R76" s="57">
        <f>IFERROR(Table6[[#This Row],[Redbook WAC price per tablet/capsule (Jan 2017)]]/Table6[[#This Row],[Redbook package strength (mg) (Jan 2017)]], "")</f>
        <v>1.57919645</v>
      </c>
      <c r="S76" s="74" t="s">
        <v>1741</v>
      </c>
      <c r="T76" s="57" t="s">
        <v>1806</v>
      </c>
      <c r="U76" s="57" t="s">
        <v>1520</v>
      </c>
      <c r="V76" s="57">
        <v>200</v>
      </c>
      <c r="W76" s="284">
        <v>315.83929000000001</v>
      </c>
      <c r="X76" s="284">
        <f>IFERROR(Table6[[#This Row],[Redbook WAC price per tablet/capsule (Jul 2017)]]/Table6[[#This Row],[Redbook package strength (mg) (Jul 2017)]], "")</f>
        <v>1.57919645</v>
      </c>
      <c r="Y76" s="57" t="s">
        <v>1741</v>
      </c>
      <c r="Z76" s="388" t="s">
        <v>1806</v>
      </c>
      <c r="AA76" s="389" t="s">
        <v>2717</v>
      </c>
      <c r="AB76" s="158">
        <v>200</v>
      </c>
      <c r="AC76" s="390">
        <v>315.83929000000001</v>
      </c>
      <c r="AD76" s="390">
        <f>Table6[[#This Row],[Redbook WAC price per tablet/capsule (Jan 2018)]]/Table6[[#This Row],[Redbook package strength (mg) (Jan 2018)]]</f>
        <v>1.57919645</v>
      </c>
      <c r="AE76" s="391" t="s">
        <v>1741</v>
      </c>
      <c r="AF76" s="388" t="s">
        <v>1806</v>
      </c>
      <c r="AG76" s="389" t="s">
        <v>2717</v>
      </c>
      <c r="AH76" s="397">
        <v>200</v>
      </c>
      <c r="AI76" s="399">
        <v>315.83929000000001</v>
      </c>
      <c r="AJ76" s="399">
        <f>Table6[[#This Row],[Redbook WAC price per tablet/capsule (Jul 2018)]]/Table6[[#This Row],[Redbook package strength (mg) (Jul 2018)]]</f>
        <v>1.57919645</v>
      </c>
      <c r="AK76" s="391" t="s">
        <v>1741</v>
      </c>
      <c r="AL76" s="57" t="s">
        <v>1806</v>
      </c>
      <c r="AM76" s="57" t="s">
        <v>1520</v>
      </c>
      <c r="AN76" s="57">
        <v>200</v>
      </c>
      <c r="AO76" s="58">
        <v>315.83929000000001</v>
      </c>
      <c r="AP76" s="58">
        <f>IFERROR(Table6[[#This Row],[Redbook WAC price per tablet/capsule (Jan 2019)]]/Table6[[#This Row],[Redbook package strength (mg) (Jan 2019)]], "")</f>
        <v>1.57919645</v>
      </c>
      <c r="AQ76" s="74" t="s">
        <v>1741</v>
      </c>
      <c r="AR76" s="73" t="s">
        <v>1806</v>
      </c>
      <c r="AS76" s="57" t="s">
        <v>1520</v>
      </c>
      <c r="AT76" s="57">
        <v>200</v>
      </c>
      <c r="AU76" s="58">
        <v>315.83929000000001</v>
      </c>
      <c r="AV76" s="58">
        <f>IFERROR(Table6[[#This Row],[Redbook WAC price per tablet/capsule (Jul 2019)]]/Table6[[#This Row],[Redbook package strength (mg) (Jul 2019)]], "")</f>
        <v>1.57919645</v>
      </c>
      <c r="AW76" s="74" t="s">
        <v>1741</v>
      </c>
      <c r="AX76" s="73" t="s">
        <v>1806</v>
      </c>
      <c r="AY76" s="57" t="s">
        <v>1520</v>
      </c>
      <c r="AZ76" s="57">
        <v>200</v>
      </c>
      <c r="BA76" s="59">
        <v>315.83929000000001</v>
      </c>
      <c r="BB76" s="59">
        <f>IFERROR(Table6[[#This Row],[Redbook WAC price per tablet/capsule (Jan 2020)]]/Table6[[#This Row],[Redbook package strength (mg) (Jan 2020)]], "")</f>
        <v>1.57919645</v>
      </c>
      <c r="BC76" t="s">
        <v>1741</v>
      </c>
      <c r="BD76" s="73" t="s">
        <v>1806</v>
      </c>
      <c r="BE76" s="57" t="s">
        <v>1520</v>
      </c>
      <c r="BF76" s="57">
        <v>200</v>
      </c>
      <c r="BG76" s="58">
        <v>315.83929000000001</v>
      </c>
      <c r="BH76" s="58">
        <f>IFERROR(Table6[[#This Row],[Redbook WAC price per tablet/capsule (Jul 2020)]]/Table6[[#This Row],[Redbook package strength (mg) (Jul 2020)]], "")</f>
        <v>1.57919645</v>
      </c>
      <c r="BI76" s="74" t="s">
        <v>1741</v>
      </c>
      <c r="BJ76" s="57" t="s">
        <v>1806</v>
      </c>
      <c r="BK76" s="57" t="s">
        <v>1520</v>
      </c>
      <c r="BL76" s="57">
        <v>200</v>
      </c>
      <c r="BM76" s="58">
        <v>315.83929000000001</v>
      </c>
      <c r="BN76" s="58">
        <f>IFERROR(Table6[[#This Row],[Redbook WAC price per tablet/capsule (Jan 2021)]]/Table6[[#This Row],[Redbook package strength (mg) (Jan 2021)]], "")</f>
        <v>1.57919645</v>
      </c>
      <c r="BO76" s="57" t="s">
        <v>1741</v>
      </c>
      <c r="BP76" s="73" t="s">
        <v>1806</v>
      </c>
      <c r="BQ76" s="57" t="s">
        <v>1520</v>
      </c>
      <c r="BR76" s="57">
        <v>200</v>
      </c>
      <c r="BS76" s="58">
        <v>315.83929000000001</v>
      </c>
      <c r="BT76" s="58">
        <f>IFERROR(Table6[[#This Row],[Redbook WAC price per tablet/capsule (Jul 2021)]]/Table6[[#This Row],[Redbook package strength (mg) (Jul 2021)]], "")</f>
        <v>1.57919645</v>
      </c>
      <c r="BU76" s="57" t="s">
        <v>1741</v>
      </c>
      <c r="BV76" s="186" t="s">
        <v>1806</v>
      </c>
      <c r="BW76" s="158" t="s">
        <v>1520</v>
      </c>
      <c r="BX76" s="57">
        <v>200</v>
      </c>
      <c r="BY76" s="58">
        <v>315.83999999999997</v>
      </c>
      <c r="BZ76" s="58">
        <f>IFERROR(Table6[[#This Row],[Redbook WAC price per tablet/capsule (Jan 2022)]]/Table6[[#This Row],[Redbook package strength (mg) (Jan 2022)]], "")</f>
        <v>1.5791999999999999</v>
      </c>
      <c r="CA76" s="74" t="s">
        <v>1741</v>
      </c>
      <c r="CB76" s="57" t="s">
        <v>1806</v>
      </c>
      <c r="CC76" s="158" t="s">
        <v>1520</v>
      </c>
      <c r="CD76" s="57">
        <v>200</v>
      </c>
      <c r="CE76" s="58">
        <v>315.83929000000001</v>
      </c>
      <c r="CF76" s="58">
        <f>IFERROR(Table6[[#This Row],[Redbook WAC price per tablet/capsule (Jul 2022)]]/Table6[[#This Row],[Redbook package strength (mg) (Jul 2022)]], "")</f>
        <v>1.57919645</v>
      </c>
      <c r="CG76" s="74" t="s">
        <v>1741</v>
      </c>
      <c r="CH76" s="57" t="s">
        <v>1806</v>
      </c>
      <c r="CI76" s="57" t="s">
        <v>1520</v>
      </c>
      <c r="CJ76" s="57">
        <v>200</v>
      </c>
      <c r="CK76" s="58">
        <v>315.83929000000001</v>
      </c>
      <c r="CL76" s="58">
        <f>IFERROR(Table6[[#This Row],[Redbook WAC price per tablet/capsule (Jan 2023)]]/Table6[[#This Row],[Redbook package strength (mg) (Jan 2023)]], "")</f>
        <v>1.57919645</v>
      </c>
      <c r="CM76" s="57" t="s">
        <v>1741</v>
      </c>
    </row>
    <row r="77" spans="1:92" x14ac:dyDescent="0.3">
      <c r="A77" s="91" t="s">
        <v>178</v>
      </c>
      <c r="B77" s="57" t="s">
        <v>1905</v>
      </c>
      <c r="C77" s="57" t="s">
        <v>1896</v>
      </c>
      <c r="D77" s="57">
        <v>5</v>
      </c>
      <c r="E77" s="57">
        <v>1.1666700000000001</v>
      </c>
      <c r="F77" s="57">
        <f>IFERROR(Table6[[#This Row],[Redbook WAC price per tablet/capsule (Jan 2016)]]/Table6[[#This Row],[Redbook package strength (mg) (Jan 2016)]], "")</f>
        <v>0.23333400000000001</v>
      </c>
      <c r="G77" s="74" t="s">
        <v>1741</v>
      </c>
      <c r="H77" s="57" t="s">
        <v>1905</v>
      </c>
      <c r="I77" s="57" t="s">
        <v>1896</v>
      </c>
      <c r="J77" s="57">
        <v>5</v>
      </c>
      <c r="K77" s="57">
        <v>1.1666700000000001</v>
      </c>
      <c r="L77" s="57">
        <f>IFERROR(Table6[[#This Row],[Redbook WAC price per tablet/capsule (Jul 2016)]]/Table6[[#This Row],[Redbook package strength (mg) (Jul 2016)]], "")</f>
        <v>0.23333400000000001</v>
      </c>
      <c r="M77" s="74" t="s">
        <v>1741</v>
      </c>
      <c r="N77" s="57" t="s">
        <v>1905</v>
      </c>
      <c r="O77" s="57" t="s">
        <v>1896</v>
      </c>
      <c r="P77" s="57">
        <v>5</v>
      </c>
      <c r="Q77" s="57">
        <v>1.1666700000000001</v>
      </c>
      <c r="R77" s="57">
        <f>IFERROR(Table6[[#This Row],[Redbook WAC price per tablet/capsule (Jan 2017)]]/Table6[[#This Row],[Redbook package strength (mg) (Jan 2017)]], "")</f>
        <v>0.23333400000000001</v>
      </c>
      <c r="S77" s="74" t="s">
        <v>1741</v>
      </c>
      <c r="T77" s="57" t="s">
        <v>1905</v>
      </c>
      <c r="U77" s="57" t="s">
        <v>1896</v>
      </c>
      <c r="V77" s="57">
        <v>5</v>
      </c>
      <c r="W77" s="284">
        <v>1.1666700000000001</v>
      </c>
      <c r="X77" s="284">
        <f>IFERROR(Table6[[#This Row],[Redbook WAC price per tablet/capsule (Jul 2017)]]/Table6[[#This Row],[Redbook package strength (mg) (Jul 2017)]], "")</f>
        <v>0.23333400000000001</v>
      </c>
      <c r="Y77" s="57" t="s">
        <v>1741</v>
      </c>
      <c r="Z77" s="388" t="s">
        <v>1905</v>
      </c>
      <c r="AA77" s="389" t="s">
        <v>1896</v>
      </c>
      <c r="AB77" s="158">
        <v>5</v>
      </c>
      <c r="AC77" s="390">
        <v>1.1666700000000001</v>
      </c>
      <c r="AD77" s="390">
        <f>Table6[[#This Row],[Redbook WAC price per tablet/capsule (Jan 2018)]]/Table6[[#This Row],[Redbook package strength (mg) (Jan 2018)]]</f>
        <v>0.23333400000000001</v>
      </c>
      <c r="AE77" s="391" t="s">
        <v>1741</v>
      </c>
      <c r="AF77" s="388" t="s">
        <v>1905</v>
      </c>
      <c r="AG77" s="389" t="s">
        <v>1896</v>
      </c>
      <c r="AH77" s="397">
        <v>5</v>
      </c>
      <c r="AI77" s="399">
        <v>1.1666700000000001</v>
      </c>
      <c r="AJ77" s="399">
        <f>Table6[[#This Row],[Redbook WAC price per tablet/capsule (Jul 2018)]]/Table6[[#This Row],[Redbook package strength (mg) (Jul 2018)]]</f>
        <v>0.23333400000000001</v>
      </c>
      <c r="AK77" s="391" t="s">
        <v>1741</v>
      </c>
      <c r="AL77" s="57" t="s">
        <v>1905</v>
      </c>
      <c r="AM77" s="57" t="s">
        <v>1896</v>
      </c>
      <c r="AN77" s="57">
        <v>5</v>
      </c>
      <c r="AO77" s="58">
        <v>1.1666700000000001</v>
      </c>
      <c r="AP77" s="58">
        <f>IFERROR(Table6[[#This Row],[Redbook WAC price per tablet/capsule (Jan 2019)]]/Table6[[#This Row],[Redbook package strength (mg) (Jan 2019)]], "")</f>
        <v>0.23333400000000001</v>
      </c>
      <c r="AQ77" s="74" t="s">
        <v>1741</v>
      </c>
      <c r="AR77" s="73" t="s">
        <v>1905</v>
      </c>
      <c r="AS77" s="57" t="s">
        <v>1896</v>
      </c>
      <c r="AT77" s="57">
        <v>5</v>
      </c>
      <c r="AU77" s="58">
        <v>1.1666700000000001</v>
      </c>
      <c r="AV77" s="58">
        <f>IFERROR(Table6[[#This Row],[Redbook WAC price per tablet/capsule (Jul 2019)]]/Table6[[#This Row],[Redbook package strength (mg) (Jul 2019)]], "")</f>
        <v>0.23333400000000001</v>
      </c>
      <c r="AW77" s="74" t="s">
        <v>1741</v>
      </c>
      <c r="AX77" s="73" t="s">
        <v>1905</v>
      </c>
      <c r="AY77" s="57" t="s">
        <v>1896</v>
      </c>
      <c r="AZ77" s="57">
        <v>5</v>
      </c>
      <c r="BA77" s="58">
        <v>1.1666700000000001</v>
      </c>
      <c r="BB77" s="59">
        <f>IFERROR(Table6[[#This Row],[Redbook WAC price per tablet/capsule (Jan 2020)]]/Table6[[#This Row],[Redbook package strength (mg) (Jan 2020)]], "")</f>
        <v>0.23333400000000001</v>
      </c>
      <c r="BC77" t="s">
        <v>1741</v>
      </c>
      <c r="BD77" s="73" t="s">
        <v>1905</v>
      </c>
      <c r="BE77" s="57" t="s">
        <v>1896</v>
      </c>
      <c r="BF77" s="57">
        <v>5</v>
      </c>
      <c r="BG77" s="58">
        <v>1.1666700000000001</v>
      </c>
      <c r="BH77" s="58">
        <f>IFERROR(Table6[[#This Row],[Redbook WAC price per tablet/capsule (Jul 2020)]]/Table6[[#This Row],[Redbook package strength (mg) (Jul 2020)]], "")</f>
        <v>0.23333400000000001</v>
      </c>
      <c r="BI77" s="74" t="s">
        <v>1741</v>
      </c>
      <c r="BJ77" s="57" t="s">
        <v>1905</v>
      </c>
      <c r="BK77" s="57" t="s">
        <v>1896</v>
      </c>
      <c r="BL77" s="57">
        <v>5</v>
      </c>
      <c r="BM77" s="58">
        <v>1.1666700000000001</v>
      </c>
      <c r="BN77" s="58">
        <f>IFERROR(Table6[[#This Row],[Redbook WAC price per tablet/capsule (Jan 2021)]]/Table6[[#This Row],[Redbook package strength (mg) (Jan 2021)]], "")</f>
        <v>0.23333400000000001</v>
      </c>
      <c r="BO77" s="57" t="s">
        <v>1741</v>
      </c>
      <c r="BP77" s="73" t="s">
        <v>2063</v>
      </c>
      <c r="BQ77" s="57" t="s">
        <v>1896</v>
      </c>
      <c r="BR77" s="57">
        <v>5</v>
      </c>
      <c r="BS77" s="58">
        <v>1.1173299999999999</v>
      </c>
      <c r="BT77" s="58">
        <f>IFERROR(Table6[[#This Row],[Redbook WAC price per tablet/capsule (Jul 2021)]]/Table6[[#This Row],[Redbook package strength (mg) (Jul 2021)]], "")</f>
        <v>0.223466</v>
      </c>
      <c r="BU77" s="57" t="s">
        <v>1741</v>
      </c>
      <c r="BV77" s="186" t="s">
        <v>2063</v>
      </c>
      <c r="BW77" s="158" t="s">
        <v>1896</v>
      </c>
      <c r="BX77" s="158">
        <v>5</v>
      </c>
      <c r="BY77" s="58">
        <v>1.1173299999999999</v>
      </c>
      <c r="BZ77" s="58">
        <f>IFERROR(Table6[[#This Row],[Redbook WAC price per tablet/capsule (Jan 2022)]]/Table6[[#This Row],[Redbook package strength (mg) (Jan 2022)]], "")</f>
        <v>0.223466</v>
      </c>
      <c r="CA77" s="74" t="s">
        <v>1741</v>
      </c>
      <c r="CB77" s="57" t="s">
        <v>2063</v>
      </c>
      <c r="CC77" s="158" t="s">
        <v>1896</v>
      </c>
      <c r="CD77" s="158">
        <v>5</v>
      </c>
      <c r="CE77" s="58">
        <v>1.1173299999999999</v>
      </c>
      <c r="CF77" s="58">
        <f>IFERROR(Table6[[#This Row],[Redbook WAC price per tablet/capsule (Jul 2022)]]/Table6[[#This Row],[Redbook package strength (mg) (Jul 2022)]], "")</f>
        <v>0.223466</v>
      </c>
      <c r="CG77" s="74" t="s">
        <v>1741</v>
      </c>
      <c r="CH77" t="s">
        <v>2063</v>
      </c>
      <c r="CI77" s="158" t="s">
        <v>1896</v>
      </c>
      <c r="CJ77">
        <v>5</v>
      </c>
      <c r="CK77" s="59">
        <v>1.1173299999999999</v>
      </c>
      <c r="CL77" s="58">
        <f>IFERROR(Table6[[#This Row],[Redbook WAC price per tablet/capsule (Jan 2023)]]/Table6[[#This Row],[Redbook package strength (mg) (Jan 2023)]], "")</f>
        <v>0.223466</v>
      </c>
      <c r="CM77" s="57" t="s">
        <v>1741</v>
      </c>
    </row>
    <row r="78" spans="1:92" x14ac:dyDescent="0.3">
      <c r="A78" s="85" t="s">
        <v>1494</v>
      </c>
      <c r="B78" s="57"/>
      <c r="C78" s="57"/>
      <c r="D78" s="57"/>
      <c r="E78" s="57"/>
      <c r="F78" s="57" t="str">
        <f>IFERROR(Table6[[#This Row],[Redbook WAC price per tablet/capsule (Jan 2016)]]/Table6[[#This Row],[Redbook package strength (mg) (Jan 2016)]], "")</f>
        <v/>
      </c>
      <c r="G78" s="74"/>
      <c r="H78" s="57"/>
      <c r="I78" s="57"/>
      <c r="K78" s="57"/>
      <c r="L78" s="57" t="str">
        <f>IFERROR(Table6[[#This Row],[Redbook WAC price per tablet/capsule (Jul 2016)]]/Table6[[#This Row],[Redbook package strength (mg) (Jul 2016)]], "")</f>
        <v/>
      </c>
      <c r="M78" s="74"/>
      <c r="N78" s="57"/>
      <c r="O78" s="57"/>
      <c r="P78" s="57"/>
      <c r="Q78" s="57"/>
      <c r="R78" s="57"/>
      <c r="S78" s="74"/>
      <c r="T78" s="57"/>
      <c r="U78" s="57"/>
      <c r="V78" s="57"/>
      <c r="W78" s="284"/>
      <c r="X78" s="284" t="str">
        <f>IFERROR(Table6[[#This Row],[Redbook WAC price per tablet/capsule (Jul 2017)]]/Table6[[#This Row],[Redbook package strength (mg) (Jul 2017)]], "")</f>
        <v/>
      </c>
      <c r="Y78" s="57"/>
      <c r="Z78" s="388"/>
      <c r="AA78" s="389"/>
      <c r="AB78" s="158"/>
      <c r="AC78" s="390"/>
      <c r="AD78" s="390"/>
      <c r="AE78" s="391"/>
      <c r="AF78" s="388"/>
      <c r="AG78" s="389"/>
      <c r="AH78" s="397"/>
      <c r="AI78" s="399"/>
      <c r="AJ78" s="399"/>
      <c r="AK78" s="391"/>
      <c r="AL78" s="57"/>
      <c r="AM78" s="57"/>
      <c r="AN78" s="57"/>
      <c r="AO78" s="58"/>
      <c r="AP78" s="58" t="str">
        <f>IFERROR(Table6[[#This Row],[Redbook WAC price per tablet/capsule (Jan 2019)]]/Table6[[#This Row],[Redbook package strength (mg) (Jan 2019)]], "")</f>
        <v/>
      </c>
      <c r="AQ78" s="74"/>
      <c r="AR78" s="73"/>
      <c r="AS78" s="57"/>
      <c r="AT78" s="57"/>
      <c r="AU78" s="58"/>
      <c r="AV78" s="58" t="str">
        <f>IFERROR(Table6[[#This Row],[Redbook WAC price per tablet/capsule (Jul 2019)]]/Table6[[#This Row],[Redbook package strength (mg) (Jul 2019)]], "")</f>
        <v/>
      </c>
      <c r="AW78" s="74"/>
      <c r="AX78" t="s">
        <v>1792</v>
      </c>
      <c r="AY78" t="s">
        <v>1521</v>
      </c>
      <c r="AZ78">
        <v>200</v>
      </c>
      <c r="BA78" s="59">
        <v>186.66669999999999</v>
      </c>
      <c r="BB78" s="59">
        <f>IFERROR(Table6[[#This Row],[Redbook WAC price per tablet/capsule (Jan 2020)]]/Table6[[#This Row],[Redbook package strength (mg) (Jan 2020)]], "")</f>
        <v>0.93333349999999993</v>
      </c>
      <c r="BC78" t="s">
        <v>1741</v>
      </c>
      <c r="BD78" s="73" t="s">
        <v>1792</v>
      </c>
      <c r="BE78" t="s">
        <v>1521</v>
      </c>
      <c r="BF78">
        <v>200</v>
      </c>
      <c r="BG78" s="58">
        <v>186.66669999999999</v>
      </c>
      <c r="BH78" s="58">
        <f>IFERROR(Table6[[#This Row],[Redbook WAC price per tablet/capsule (Jul 2020)]]/Table6[[#This Row],[Redbook package strength (mg) (Jul 2020)]], "")</f>
        <v>0.93333349999999993</v>
      </c>
      <c r="BI78" s="74" t="s">
        <v>1741</v>
      </c>
      <c r="BJ78" s="57" t="s">
        <v>1792</v>
      </c>
      <c r="BK78" s="57" t="s">
        <v>1521</v>
      </c>
      <c r="BL78" s="57">
        <v>200</v>
      </c>
      <c r="BM78" s="58">
        <v>192.26667</v>
      </c>
      <c r="BN78" s="58">
        <f>IFERROR(Table6[[#This Row],[Redbook WAC price per tablet/capsule (Jan 2021)]]/Table6[[#This Row],[Redbook package strength (mg) (Jan 2021)]], "")</f>
        <v>0.96133334999999998</v>
      </c>
      <c r="BO78" s="57" t="s">
        <v>1741</v>
      </c>
      <c r="BP78" s="73" t="s">
        <v>1792</v>
      </c>
      <c r="BQ78" s="57" t="s">
        <v>1521</v>
      </c>
      <c r="BR78" s="57">
        <v>200</v>
      </c>
      <c r="BS78" s="58">
        <v>192.26667</v>
      </c>
      <c r="BT78" s="58">
        <f>IFERROR(Table6[[#This Row],[Redbook WAC price per tablet/capsule (Jul 2021)]]/Table6[[#This Row],[Redbook package strength (mg) (Jul 2021)]], "")</f>
        <v>0.96133334999999998</v>
      </c>
      <c r="BU78" s="57" t="s">
        <v>1741</v>
      </c>
      <c r="BV78" s="186" t="s">
        <v>1792</v>
      </c>
      <c r="BW78" s="158" t="s">
        <v>1521</v>
      </c>
      <c r="BX78" s="57">
        <v>200</v>
      </c>
      <c r="BY78" s="58">
        <v>198.03463300000001</v>
      </c>
      <c r="BZ78" s="58">
        <f>IFERROR(Table6[[#This Row],[Redbook WAC price per tablet/capsule (Jan 2022)]]/Table6[[#This Row],[Redbook package strength (mg) (Jan 2022)]], "")</f>
        <v>0.99017316500000008</v>
      </c>
      <c r="CA78" s="74" t="s">
        <v>1741</v>
      </c>
      <c r="CB78" s="57" t="s">
        <v>1792</v>
      </c>
      <c r="CC78" s="158" t="s">
        <v>1521</v>
      </c>
      <c r="CD78" s="57">
        <v>200</v>
      </c>
      <c r="CE78" s="58">
        <v>201.99533</v>
      </c>
      <c r="CF78" s="247">
        <f>IFERROR(Table6[[#This Row],[Redbook WAC price per tablet/capsule (Jul 2022)]]/Table6[[#This Row],[Redbook package strength (mg) (Jul 2022)]], "")</f>
        <v>1.00997665</v>
      </c>
      <c r="CG78" s="74" t="s">
        <v>1741</v>
      </c>
      <c r="CH78" s="57" t="s">
        <v>1792</v>
      </c>
      <c r="CI78" s="57" t="s">
        <v>1521</v>
      </c>
      <c r="CJ78" s="57">
        <v>200</v>
      </c>
      <c r="CK78" s="58">
        <v>212.09511000000001</v>
      </c>
      <c r="CL78" s="58">
        <f>IFERROR(Table6[[#This Row],[Redbook WAC price per tablet/capsule (Jan 2023)]]/Table6[[#This Row],[Redbook package strength (mg) (Jan 2023)]], "")</f>
        <v>1.06047555</v>
      </c>
      <c r="CM78" s="57" t="s">
        <v>1741</v>
      </c>
    </row>
    <row r="79" spans="1:92" x14ac:dyDescent="0.3">
      <c r="A79" s="83" t="s">
        <v>1522</v>
      </c>
      <c r="B79" s="57"/>
      <c r="C79" s="57"/>
      <c r="D79" s="57"/>
      <c r="E79" s="57"/>
      <c r="F79" s="57" t="str">
        <f>IFERROR(Table6[[#This Row],[Redbook WAC price per tablet/capsule (Jan 2016)]]/Table6[[#This Row],[Redbook package strength (mg) (Jan 2016)]], "")</f>
        <v/>
      </c>
      <c r="G79" s="74"/>
      <c r="H79" s="57"/>
      <c r="I79" s="57"/>
      <c r="J79" s="57"/>
      <c r="K79" s="57"/>
      <c r="L79" s="57" t="str">
        <f>IFERROR(Table6[[#This Row],[Redbook WAC price per tablet/capsule (Jul 2016)]]/Table6[[#This Row],[Redbook package strength (mg) (Jul 2016)]], "")</f>
        <v/>
      </c>
      <c r="M79" s="74"/>
      <c r="N79" s="57"/>
      <c r="O79" s="57"/>
      <c r="P79" s="57"/>
      <c r="Q79" s="57"/>
      <c r="R79" s="57" t="str">
        <f>IFERROR(Table6[[#This Row],[Redbook WAC price per tablet/capsule (Jan 2017)]]/Table6[[#This Row],[Redbook package strength (mg) (Jan 2017)]], "")</f>
        <v/>
      </c>
      <c r="S79" s="74"/>
      <c r="T79" s="57"/>
      <c r="U79" s="57"/>
      <c r="V79" s="57"/>
      <c r="W79" s="284"/>
      <c r="X79" s="284" t="str">
        <f>IFERROR(Table6[[#This Row],[Redbook WAC price per tablet/capsule (Jul 2017)]]/Table6[[#This Row],[Redbook package strength (mg) (Jul 2017)]], "")</f>
        <v/>
      </c>
      <c r="Y79" s="57"/>
      <c r="Z79" s="388"/>
      <c r="AA79" s="389"/>
      <c r="AB79" s="158"/>
      <c r="AC79" s="390"/>
      <c r="AD79" s="390"/>
      <c r="AE79" s="391"/>
      <c r="AF79" s="388"/>
      <c r="AG79" s="389"/>
      <c r="AH79" s="397"/>
      <c r="AI79" s="399"/>
      <c r="AJ79" s="399"/>
      <c r="AK79" s="391"/>
      <c r="AL79" s="57"/>
      <c r="AM79" s="57"/>
      <c r="AN79" s="57"/>
      <c r="AO79" s="58"/>
      <c r="AP79" s="58" t="str">
        <f>IFERROR(Table6[[#This Row],[Redbook WAC price per tablet/capsule (Jan 2019)]]/Table6[[#This Row],[Redbook package strength (mg) (Jan 2019)]], "")</f>
        <v/>
      </c>
      <c r="AQ79" s="74"/>
      <c r="AR79" s="73"/>
      <c r="AS79" s="57"/>
      <c r="AT79" s="57"/>
      <c r="AU79" s="58"/>
      <c r="AV79" s="58" t="str">
        <f>IFERROR(Table6[[#This Row],[Redbook WAC price per tablet/capsule (Jul 2019)]]/Table6[[#This Row],[Redbook package strength (mg) (Jul 2019)]], "")</f>
        <v/>
      </c>
      <c r="AW79" s="74"/>
      <c r="AX79" t="s">
        <v>1761</v>
      </c>
      <c r="AY79" t="s">
        <v>1527</v>
      </c>
      <c r="AZ79">
        <v>300</v>
      </c>
      <c r="BA79" s="59">
        <v>96.25</v>
      </c>
      <c r="BB79" s="59">
        <f>IFERROR(Table6[[#This Row],[Redbook WAC price per tablet/capsule (Jan 2020)]]/Table6[[#This Row],[Redbook package strength (mg) (Jan 2020)]], "")</f>
        <v>0.32083333333333336</v>
      </c>
      <c r="BC79" t="s">
        <v>1741</v>
      </c>
      <c r="BD79" s="73" t="s">
        <v>1761</v>
      </c>
      <c r="BE79" t="s">
        <v>1527</v>
      </c>
      <c r="BF79">
        <v>300</v>
      </c>
      <c r="BG79" s="58">
        <v>96.25</v>
      </c>
      <c r="BH79" s="58">
        <f>IFERROR(Table6[[#This Row],[Redbook WAC price per tablet/capsule (Jul 2020)]]/Table6[[#This Row],[Redbook package strength (mg) (Jul 2020)]], "")</f>
        <v>0.32083333333333336</v>
      </c>
      <c r="BI79" s="74" t="s">
        <v>1741</v>
      </c>
      <c r="BJ79" s="57" t="s">
        <v>1761</v>
      </c>
      <c r="BK79" s="57" t="s">
        <v>1527</v>
      </c>
      <c r="BL79" s="57">
        <v>300</v>
      </c>
      <c r="BM79" s="58">
        <v>99.14</v>
      </c>
      <c r="BN79" s="58">
        <f>IFERROR(Table6[[#This Row],[Redbook WAC price per tablet/capsule (Jan 2021)]]/Table6[[#This Row],[Redbook package strength (mg) (Jan 2021)]], "")</f>
        <v>0.33046666666666669</v>
      </c>
      <c r="BO79" s="57" t="s">
        <v>1741</v>
      </c>
      <c r="BP79" s="73" t="s">
        <v>1761</v>
      </c>
      <c r="BQ79" s="57" t="s">
        <v>1527</v>
      </c>
      <c r="BR79" s="57">
        <v>300</v>
      </c>
      <c r="BS79" s="58">
        <v>99.14</v>
      </c>
      <c r="BT79" s="58">
        <f>IFERROR(Table6[[#This Row],[Redbook WAC price per tablet/capsule (Jul 2021)]]/Table6[[#This Row],[Redbook package strength (mg) (Jul 2021)]], "")</f>
        <v>0.33046666666666669</v>
      </c>
      <c r="BU79" s="57" t="s">
        <v>1741</v>
      </c>
      <c r="BV79" s="186" t="s">
        <v>1761</v>
      </c>
      <c r="BW79" s="158" t="s">
        <v>1527</v>
      </c>
      <c r="BX79" s="57">
        <v>300</v>
      </c>
      <c r="BY79" s="58">
        <v>102.11</v>
      </c>
      <c r="BZ79" s="58">
        <f>IFERROR(Table6[[#This Row],[Redbook WAC price per tablet/capsule (Jan 2022)]]/Table6[[#This Row],[Redbook package strength (mg) (Jan 2022)]], "")</f>
        <v>0.34036666666666665</v>
      </c>
      <c r="CA79" s="74" t="s">
        <v>1741</v>
      </c>
      <c r="CB79" s="57" t="s">
        <v>1761</v>
      </c>
      <c r="CC79" s="158" t="s">
        <v>1527</v>
      </c>
      <c r="CD79" s="57">
        <v>300</v>
      </c>
      <c r="CE79" s="58">
        <v>102.11</v>
      </c>
      <c r="CF79" s="58">
        <f>IFERROR(Table6[[#This Row],[Redbook WAC price per tablet/capsule (Jul 2022)]]/Table6[[#This Row],[Redbook package strength (mg) (Jul 2022)]], "")</f>
        <v>0.34036666666666665</v>
      </c>
      <c r="CG79" s="74" t="s">
        <v>1741</v>
      </c>
      <c r="CH79" s="57" t="s">
        <v>1761</v>
      </c>
      <c r="CI79" s="57" t="s">
        <v>1527</v>
      </c>
      <c r="CJ79" s="57">
        <v>300</v>
      </c>
      <c r="CK79" s="58">
        <v>107.22</v>
      </c>
      <c r="CL79" s="58">
        <f>IFERROR(Table6[[#This Row],[Redbook WAC price per tablet/capsule (Jan 2023)]]/Table6[[#This Row],[Redbook package strength (mg) (Jan 2023)]], "")</f>
        <v>0.3574</v>
      </c>
      <c r="CM79" s="57" t="s">
        <v>1741</v>
      </c>
    </row>
    <row r="80" spans="1:92" x14ac:dyDescent="0.3">
      <c r="A80" s="85" t="s">
        <v>1524</v>
      </c>
      <c r="B80" s="57"/>
      <c r="C80" s="57"/>
      <c r="D80" s="57"/>
      <c r="E80" s="57"/>
      <c r="F80" s="57" t="str">
        <f>IFERROR(Table6[[#This Row],[Redbook WAC price per tablet/capsule (Jan 2016)]]/Table6[[#This Row],[Redbook package strength (mg) (Jan 2016)]], "")</f>
        <v/>
      </c>
      <c r="G80" s="74"/>
      <c r="H80" s="57"/>
      <c r="I80" s="57"/>
      <c r="J80" s="57"/>
      <c r="K80" s="57"/>
      <c r="L80" s="57" t="str">
        <f>IFERROR(Table6[[#This Row],[Redbook WAC price per tablet/capsule (Jul 2016)]]/Table6[[#This Row],[Redbook package strength (mg) (Jul 2016)]], "")</f>
        <v/>
      </c>
      <c r="M80" s="74"/>
      <c r="N80" s="57"/>
      <c r="O80" s="57"/>
      <c r="P80" s="57"/>
      <c r="Q80" s="57"/>
      <c r="R80" s="57" t="str">
        <f>IFERROR(Table6[[#This Row],[Redbook WAC price per tablet/capsule (Jan 2017)]]/Table6[[#This Row],[Redbook package strength (mg) (Jan 2017)]], "")</f>
        <v/>
      </c>
      <c r="S80" s="74"/>
      <c r="T80" s="57"/>
      <c r="U80" s="57"/>
      <c r="V80" s="57"/>
      <c r="W80" s="284"/>
      <c r="X80" s="284" t="str">
        <f>IFERROR(Table6[[#This Row],[Redbook WAC price per tablet/capsule (Jul 2017)]]/Table6[[#This Row],[Redbook package strength (mg) (Jul 2017)]], "")</f>
        <v/>
      </c>
      <c r="Y80" s="57"/>
      <c r="Z80" s="388"/>
      <c r="AA80" s="389"/>
      <c r="AB80" s="158"/>
      <c r="AC80" s="390"/>
      <c r="AD80" s="390"/>
      <c r="AE80" s="391"/>
      <c r="AF80" s="388"/>
      <c r="AG80" s="389"/>
      <c r="AH80" s="397"/>
      <c r="AI80" s="399"/>
      <c r="AJ80" s="399"/>
      <c r="AK80" s="391"/>
      <c r="AL80" s="57"/>
      <c r="AM80" s="57"/>
      <c r="AN80" s="57"/>
      <c r="AO80" s="58"/>
      <c r="AP80" s="58" t="str">
        <f>IFERROR(Table6[[#This Row],[Redbook WAC price per tablet/capsule (Jan 2019)]]/Table6[[#This Row],[Redbook package strength (mg) (Jan 2019)]], "")</f>
        <v/>
      </c>
      <c r="AQ80" s="74"/>
      <c r="AR80" s="73"/>
      <c r="AS80" s="57"/>
      <c r="AT80" s="57"/>
      <c r="AU80" s="58"/>
      <c r="AV80" s="58" t="str">
        <f>IFERROR(Table6[[#This Row],[Redbook WAC price per tablet/capsule (Jul 2019)]]/Table6[[#This Row],[Redbook package strength (mg) (Jul 2019)]], "")</f>
        <v/>
      </c>
      <c r="AW80" s="74"/>
      <c r="AX80" t="s">
        <v>1760</v>
      </c>
      <c r="AY80" t="s">
        <v>1528</v>
      </c>
      <c r="AZ80">
        <v>200</v>
      </c>
      <c r="BA80" s="59">
        <v>165</v>
      </c>
      <c r="BB80" s="59">
        <f>IFERROR(Table6[[#This Row],[Redbook WAC price per tablet/capsule (Jan 2020)]]/Table6[[#This Row],[Redbook package strength (mg) (Jan 2020)]], "")</f>
        <v>0.82499999999999996</v>
      </c>
      <c r="BC80" t="s">
        <v>1741</v>
      </c>
      <c r="BD80" s="73" t="s">
        <v>1760</v>
      </c>
      <c r="BE80" t="s">
        <v>1528</v>
      </c>
      <c r="BF80">
        <v>200</v>
      </c>
      <c r="BG80" s="58">
        <v>165</v>
      </c>
      <c r="BH80" s="58">
        <f>IFERROR(Table6[[#This Row],[Redbook WAC price per tablet/capsule (Jul 2020)]]/Table6[[#This Row],[Redbook package strength (mg) (Jul 2020)]], "")</f>
        <v>0.82499999999999996</v>
      </c>
      <c r="BI80" s="74" t="s">
        <v>1741</v>
      </c>
      <c r="BJ80" s="57" t="s">
        <v>1760</v>
      </c>
      <c r="BK80" s="57" t="s">
        <v>1528</v>
      </c>
      <c r="BL80" s="57">
        <v>200</v>
      </c>
      <c r="BM80" s="58">
        <v>169.125</v>
      </c>
      <c r="BN80" s="58">
        <f>IFERROR(Table6[[#This Row],[Redbook WAC price per tablet/capsule (Jan 2021)]]/Table6[[#This Row],[Redbook package strength (mg) (Jan 2021)]], "")</f>
        <v>0.84562499999999996</v>
      </c>
      <c r="BO80" s="57" t="s">
        <v>1741</v>
      </c>
      <c r="BP80" s="73" t="s">
        <v>1760</v>
      </c>
      <c r="BQ80" s="57" t="s">
        <v>1528</v>
      </c>
      <c r="BR80" s="57">
        <v>200</v>
      </c>
      <c r="BS80" s="58">
        <v>169.125</v>
      </c>
      <c r="BT80" s="58">
        <f>IFERROR(Table6[[#This Row],[Redbook WAC price per tablet/capsule (Jul 2021)]]/Table6[[#This Row],[Redbook package strength (mg) (Jul 2021)]], "")</f>
        <v>0.84562499999999996</v>
      </c>
      <c r="BU80" s="57" t="s">
        <v>1741</v>
      </c>
      <c r="BV80" s="186" t="s">
        <v>1760</v>
      </c>
      <c r="BW80" s="158" t="s">
        <v>1528</v>
      </c>
      <c r="BX80" s="57">
        <v>200</v>
      </c>
      <c r="BY80" s="58">
        <v>173.53</v>
      </c>
      <c r="BZ80" s="58">
        <f>IFERROR(Table6[[#This Row],[Redbook WAC price per tablet/capsule (Jan 2022)]]/Table6[[#This Row],[Redbook package strength (mg) (Jan 2022)]], "")</f>
        <v>0.86765000000000003</v>
      </c>
      <c r="CA80" s="74" t="s">
        <v>1741</v>
      </c>
      <c r="CB80" s="57" t="s">
        <v>1760</v>
      </c>
      <c r="CC80" s="158" t="s">
        <v>1528</v>
      </c>
      <c r="CD80" s="57">
        <v>200</v>
      </c>
      <c r="CE80" s="58">
        <v>173.53</v>
      </c>
      <c r="CF80" s="58">
        <f>IFERROR(Table6[[#This Row],[Redbook WAC price per tablet/capsule (Jul 2022)]]/Table6[[#This Row],[Redbook package strength (mg) (Jul 2022)]], "")</f>
        <v>0.86765000000000003</v>
      </c>
      <c r="CG80" s="74" t="s">
        <v>1741</v>
      </c>
      <c r="CH80" s="57" t="s">
        <v>1760</v>
      </c>
      <c r="CI80" s="57" t="s">
        <v>1528</v>
      </c>
      <c r="CJ80" s="57">
        <v>200</v>
      </c>
      <c r="CK80" s="58">
        <v>182.21</v>
      </c>
      <c r="CL80" s="58">
        <f>IFERROR(Table6[[#This Row],[Redbook WAC price per tablet/capsule (Jan 2023)]]/Table6[[#This Row],[Redbook package strength (mg) (Jan 2023)]], "")</f>
        <v>0.91105000000000003</v>
      </c>
      <c r="CM80" s="57" t="s">
        <v>1741</v>
      </c>
    </row>
    <row r="81" spans="1:92" x14ac:dyDescent="0.3">
      <c r="A81" s="83" t="s">
        <v>1525</v>
      </c>
      <c r="B81" s="57"/>
      <c r="C81" s="57"/>
      <c r="D81" s="57"/>
      <c r="E81" s="57"/>
      <c r="F81" s="57" t="str">
        <f>IFERROR(Table6[[#This Row],[Redbook WAC price per tablet/capsule (Jan 2016)]]/Table6[[#This Row],[Redbook package strength (mg) (Jan 2016)]], "")</f>
        <v/>
      </c>
      <c r="G81" s="74"/>
      <c r="H81" s="57"/>
      <c r="I81" s="57"/>
      <c r="J81" s="57"/>
      <c r="K81" s="57"/>
      <c r="L81" s="57" t="str">
        <f>IFERROR(Table6[[#This Row],[Redbook WAC price per tablet/capsule (Jul 2016)]]/Table6[[#This Row],[Redbook package strength (mg) (Jul 2016)]], "")</f>
        <v/>
      </c>
      <c r="M81" s="74"/>
      <c r="N81" s="57"/>
      <c r="O81" s="57"/>
      <c r="P81" s="57"/>
      <c r="Q81" s="57"/>
      <c r="R81" s="57" t="str">
        <f>IFERROR(Table6[[#This Row],[Redbook WAC price per tablet/capsule (Jan 2017)]]/Table6[[#This Row],[Redbook package strength (mg) (Jan 2017)]], "")</f>
        <v/>
      </c>
      <c r="S81" s="74"/>
      <c r="T81" s="57"/>
      <c r="U81" s="57"/>
      <c r="V81" s="57"/>
      <c r="W81" s="284"/>
      <c r="X81" s="284" t="str">
        <f>IFERROR(Table6[[#This Row],[Redbook WAC price per tablet/capsule (Jul 2017)]]/Table6[[#This Row],[Redbook package strength (mg) (Jul 2017)]], "")</f>
        <v/>
      </c>
      <c r="Y81" s="57"/>
      <c r="Z81" s="388"/>
      <c r="AA81" s="389"/>
      <c r="AB81" s="158"/>
      <c r="AC81" s="390"/>
      <c r="AD81" s="390"/>
      <c r="AE81" s="391"/>
      <c r="AF81" s="388"/>
      <c r="AG81" s="389"/>
      <c r="AH81" s="397"/>
      <c r="AI81" s="399"/>
      <c r="AJ81" s="399"/>
      <c r="AK81" s="391"/>
      <c r="AL81" s="57"/>
      <c r="AM81" s="57"/>
      <c r="AN81" s="57"/>
      <c r="AO81" s="58"/>
      <c r="AP81" s="58" t="str">
        <f>IFERROR(Table6[[#This Row],[Redbook WAC price per tablet/capsule (Jan 2019)]]/Table6[[#This Row],[Redbook package strength (mg) (Jan 2019)]], "")</f>
        <v/>
      </c>
      <c r="AQ81" s="74"/>
      <c r="AR81" s="73"/>
      <c r="AS81" s="57"/>
      <c r="AT81" s="57"/>
      <c r="AU81" s="58"/>
      <c r="AV81" s="58" t="str">
        <f>IFERROR(Table6[[#This Row],[Redbook WAC price per tablet/capsule (Jul 2019)]]/Table6[[#This Row],[Redbook package strength (mg) (Jul 2019)]], "")</f>
        <v/>
      </c>
      <c r="AW81" s="74"/>
      <c r="AX81" t="s">
        <v>1889</v>
      </c>
      <c r="AY81" t="s">
        <v>1890</v>
      </c>
      <c r="AZ81">
        <v>20</v>
      </c>
      <c r="BA81" s="59">
        <v>687.5</v>
      </c>
      <c r="BB81" s="59">
        <f>IFERROR(Table6[[#This Row],[Redbook WAC price per tablet/capsule (Jan 2020)]]/Table6[[#This Row],[Redbook package strength (mg) (Jan 2020)]], "")</f>
        <v>34.375</v>
      </c>
      <c r="BC81" t="s">
        <v>1741</v>
      </c>
      <c r="BD81" s="73" t="s">
        <v>1889</v>
      </c>
      <c r="BE81" s="57" t="s">
        <v>1890</v>
      </c>
      <c r="BF81" s="57">
        <v>20</v>
      </c>
      <c r="BG81" s="58">
        <v>687.5</v>
      </c>
      <c r="BH81" s="58">
        <f>IFERROR(Table6[[#This Row],[Redbook WAC price per tablet/capsule (Jul 2020)]]/Table6[[#This Row],[Redbook package strength (mg) (Jul 2020)]], "")</f>
        <v>34.375</v>
      </c>
      <c r="BI81" s="74" t="s">
        <v>1741</v>
      </c>
      <c r="BJ81" s="73" t="s">
        <v>1889</v>
      </c>
      <c r="BK81" s="57" t="s">
        <v>1890</v>
      </c>
      <c r="BL81" s="57">
        <v>20</v>
      </c>
      <c r="BM81" s="58">
        <v>687.5</v>
      </c>
      <c r="BN81" s="58">
        <f>IFERROR(Table6[[#This Row],[Redbook WAC price per tablet/capsule (Jan 2021)]]/Table6[[#This Row],[Redbook package strength (mg) (Jan 2021)]], "")</f>
        <v>34.375</v>
      </c>
      <c r="BO81" s="57" t="s">
        <v>1741</v>
      </c>
      <c r="BP81" s="73" t="s">
        <v>1889</v>
      </c>
      <c r="BQ81" s="57" t="s">
        <v>1890</v>
      </c>
      <c r="BR81" s="57">
        <v>20</v>
      </c>
      <c r="BS81" s="58">
        <v>721.1875</v>
      </c>
      <c r="BT81" s="58">
        <f>IFERROR(Table6[[#This Row],[Redbook WAC price per tablet/capsule (Jul 2021)]]/Table6[[#This Row],[Redbook package strength (mg) (Jul 2021)]], "")</f>
        <v>36.059375000000003</v>
      </c>
      <c r="BU81" s="57" t="s">
        <v>1741</v>
      </c>
      <c r="BV81" s="186" t="s">
        <v>1889</v>
      </c>
      <c r="BW81" s="158" t="s">
        <v>1890</v>
      </c>
      <c r="BX81" s="57">
        <v>20</v>
      </c>
      <c r="BY81" s="58">
        <v>770.97</v>
      </c>
      <c r="BZ81" s="58">
        <f>IFERROR(Table6[[#This Row],[Redbook WAC price per tablet/capsule (Jan 2022)]]/Table6[[#This Row],[Redbook package strength (mg) (Jan 2022)]], "")</f>
        <v>38.548500000000004</v>
      </c>
      <c r="CA81" s="74" t="s">
        <v>1741</v>
      </c>
      <c r="CB81" s="57" t="s">
        <v>1889</v>
      </c>
      <c r="CC81" s="158" t="s">
        <v>1890</v>
      </c>
      <c r="CD81" s="57">
        <v>20</v>
      </c>
      <c r="CE81" s="58">
        <v>770.96875</v>
      </c>
      <c r="CF81" s="58">
        <f>IFERROR(Table6[[#This Row],[Redbook WAC price per tablet/capsule (Jul 2022)]]/Table6[[#This Row],[Redbook package strength (mg) (Jul 2022)]], "")</f>
        <v>38.548437499999999</v>
      </c>
      <c r="CG81" s="74" t="s">
        <v>1741</v>
      </c>
      <c r="CH81" s="57" t="s">
        <v>1889</v>
      </c>
      <c r="CI81" s="57" t="s">
        <v>1890</v>
      </c>
      <c r="CJ81" s="57">
        <v>20</v>
      </c>
      <c r="CK81" s="58">
        <v>839.34375</v>
      </c>
      <c r="CL81" s="58">
        <f>IFERROR(Table6[[#This Row],[Redbook WAC price per tablet/capsule (Jan 2023)]]/Table6[[#This Row],[Redbook package strength (mg) (Jan 2023)]], "")</f>
        <v>41.967187500000001</v>
      </c>
      <c r="CM81" s="57" t="s">
        <v>1741</v>
      </c>
      <c r="CN81" t="s">
        <v>2067</v>
      </c>
    </row>
    <row r="82" spans="1:92" x14ac:dyDescent="0.3">
      <c r="A82" s="85" t="s">
        <v>1649</v>
      </c>
      <c r="B82" s="57"/>
      <c r="C82" s="57"/>
      <c r="D82" s="57"/>
      <c r="E82" s="57"/>
      <c r="F82" s="57" t="str">
        <f>IFERROR(Table6[[#This Row],[Redbook WAC price per tablet/capsule (Jan 2016)]]/Table6[[#This Row],[Redbook package strength (mg) (Jan 2016)]], "")</f>
        <v/>
      </c>
      <c r="G82" s="74"/>
      <c r="H82" s="57"/>
      <c r="I82" s="57"/>
      <c r="J82" s="57"/>
      <c r="K82" s="57"/>
      <c r="L82" s="57" t="str">
        <f>IFERROR(Table6[[#This Row],[Redbook WAC price per tablet/capsule (Jul 2016)]]/Table6[[#This Row],[Redbook package strength (mg) (Jul 2016)]], "")</f>
        <v/>
      </c>
      <c r="M82" s="74"/>
      <c r="N82" s="57"/>
      <c r="O82" s="57"/>
      <c r="P82" s="57"/>
      <c r="Q82" s="57"/>
      <c r="R82" s="57" t="str">
        <f>IFERROR(Table6[[#This Row],[Redbook WAC price per tablet/capsule (Jan 2017)]]/Table6[[#This Row],[Redbook package strength (mg) (Jan 2017)]], "")</f>
        <v/>
      </c>
      <c r="S82" s="74"/>
      <c r="T82" s="57"/>
      <c r="U82" s="57"/>
      <c r="V82" s="57"/>
      <c r="W82" s="284"/>
      <c r="X82" s="284" t="str">
        <f>IFERROR(Table6[[#This Row],[Redbook WAC price per tablet/capsule (Jul 2017)]]/Table6[[#This Row],[Redbook package strength (mg) (Jul 2017)]], "")</f>
        <v/>
      </c>
      <c r="Y82" s="57"/>
      <c r="Z82" s="388"/>
      <c r="AA82" s="389"/>
      <c r="AB82" s="158"/>
      <c r="AC82" s="390"/>
      <c r="AD82" s="390"/>
      <c r="AE82" s="391"/>
      <c r="AF82" s="388"/>
      <c r="AG82" s="389"/>
      <c r="AH82" s="397"/>
      <c r="AI82" s="399"/>
      <c r="AJ82" s="399"/>
      <c r="AK82" s="391"/>
      <c r="AL82" s="57"/>
      <c r="AO82" s="58"/>
      <c r="AP82" s="58" t="str">
        <f>IFERROR(Table6[[#This Row],[Redbook WAC price per tablet/capsule (Jan 2019)]]/Table6[[#This Row],[Redbook package strength (mg) (Jan 2019)]], "")</f>
        <v/>
      </c>
      <c r="AQ82" s="74"/>
      <c r="AR82" s="73" t="s">
        <v>1759</v>
      </c>
      <c r="AS82" s="57" t="s">
        <v>1681</v>
      </c>
      <c r="AT82" s="57">
        <v>150</v>
      </c>
      <c r="AU82" s="58">
        <v>276.78570000000002</v>
      </c>
      <c r="AV82" s="58">
        <f>IFERROR(Table6[[#This Row],[Redbook WAC price per tablet/capsule (Jul 2019)]]/Table6[[#This Row],[Redbook package strength (mg) (Jul 2019)]], "")</f>
        <v>1.8452380000000002</v>
      </c>
      <c r="AW82" s="74" t="s">
        <v>1741</v>
      </c>
      <c r="AX82" s="73" t="s">
        <v>1759</v>
      </c>
      <c r="AY82" s="57" t="s">
        <v>1681</v>
      </c>
      <c r="AZ82" s="57">
        <v>150</v>
      </c>
      <c r="BA82" s="58">
        <v>276.78570000000002</v>
      </c>
      <c r="BB82" s="59">
        <f>IFERROR(Table6[[#This Row],[Redbook WAC price per tablet/capsule (Jan 2020)]]/Table6[[#This Row],[Redbook package strength (mg) (Jan 2020)]], "")</f>
        <v>1.8452380000000002</v>
      </c>
      <c r="BC82" t="s">
        <v>1741</v>
      </c>
      <c r="BD82" s="73" t="s">
        <v>1759</v>
      </c>
      <c r="BE82" s="57" t="s">
        <v>1681</v>
      </c>
      <c r="BF82" s="57">
        <v>150</v>
      </c>
      <c r="BG82" s="58">
        <v>292.00889999999998</v>
      </c>
      <c r="BH82" s="58">
        <f>IFERROR(Table6[[#This Row],[Redbook WAC price per tablet/capsule (Jul 2020)]]/Table6[[#This Row],[Redbook package strength (mg) (Jul 2020)]], "")</f>
        <v>1.946726</v>
      </c>
      <c r="BI82" s="74" t="s">
        <v>1741</v>
      </c>
      <c r="BJ82" s="73" t="s">
        <v>1759</v>
      </c>
      <c r="BK82" s="57" t="s">
        <v>1681</v>
      </c>
      <c r="BL82" s="57">
        <v>150</v>
      </c>
      <c r="BM82" s="58">
        <v>292.00889999999998</v>
      </c>
      <c r="BN82" s="58">
        <f>IFERROR(Table6[[#This Row],[Redbook WAC price per tablet/capsule (Jan 2021)]]/Table6[[#This Row],[Redbook package strength (mg) (Jan 2021)]], "")</f>
        <v>1.946726</v>
      </c>
      <c r="BO82" s="57" t="s">
        <v>1741</v>
      </c>
      <c r="BP82" s="73" t="s">
        <v>1759</v>
      </c>
      <c r="BQ82" s="57" t="s">
        <v>1681</v>
      </c>
      <c r="BR82" s="57">
        <v>150</v>
      </c>
      <c r="BS82" s="58">
        <v>312.44970000000001</v>
      </c>
      <c r="BT82" s="58">
        <f>IFERROR(Table6[[#This Row],[Redbook WAC price per tablet/capsule (Jul 2021)]]/Table6[[#This Row],[Redbook package strength (mg) (Jul 2021)]], "")</f>
        <v>2.0829979999999999</v>
      </c>
      <c r="BU82" s="57" t="s">
        <v>1741</v>
      </c>
      <c r="BV82" s="186" t="s">
        <v>1759</v>
      </c>
      <c r="BW82" s="158" t="s">
        <v>1681</v>
      </c>
      <c r="BX82" s="57">
        <v>150</v>
      </c>
      <c r="BY82" s="58">
        <v>312.45</v>
      </c>
      <c r="BZ82" s="58">
        <f>IFERROR(Table6[[#This Row],[Redbook WAC price per tablet/capsule (Jan 2022)]]/Table6[[#This Row],[Redbook package strength (mg) (Jan 2022)]], "")</f>
        <v>2.0829999999999997</v>
      </c>
      <c r="CA82" s="74" t="s">
        <v>1741</v>
      </c>
      <c r="CB82" s="57" t="s">
        <v>1759</v>
      </c>
      <c r="CC82" s="158" t="s">
        <v>1681</v>
      </c>
      <c r="CD82" s="57">
        <v>150</v>
      </c>
      <c r="CE82" s="58">
        <v>334.32107000000002</v>
      </c>
      <c r="CF82" s="247">
        <f>IFERROR(Table6[[#This Row],[Redbook WAC price per tablet/capsule (Jul 2022)]]/Table6[[#This Row],[Redbook package strength (mg) (Jul 2022)]], "")</f>
        <v>2.2288071333333335</v>
      </c>
      <c r="CG82" s="74" t="s">
        <v>1741</v>
      </c>
      <c r="CH82" s="57" t="s">
        <v>2382</v>
      </c>
      <c r="CI82" s="57" t="s">
        <v>1681</v>
      </c>
      <c r="CJ82" s="57">
        <v>300</v>
      </c>
      <c r="CK82" s="58">
        <v>334.32113333299998</v>
      </c>
      <c r="CL82" s="58">
        <f>IFERROR(Table6[[#This Row],[Redbook WAC price per tablet/capsule (Jan 2023)]]/Table6[[#This Row],[Redbook package strength (mg) (Jan 2023)]], "")</f>
        <v>1.1144037777766667</v>
      </c>
      <c r="CM82" s="57" t="s">
        <v>1741</v>
      </c>
      <c r="CN82" t="s">
        <v>2068</v>
      </c>
    </row>
    <row r="83" spans="1:92" x14ac:dyDescent="0.3">
      <c r="A83" s="83" t="s">
        <v>1650</v>
      </c>
      <c r="B83" s="57"/>
      <c r="C83" s="57"/>
      <c r="D83" s="57"/>
      <c r="E83" s="57"/>
      <c r="F83" s="57" t="str">
        <f>IFERROR(Table6[[#This Row],[Redbook WAC price per tablet/capsule (Jan 2016)]]/Table6[[#This Row],[Redbook package strength (mg) (Jan 2016)]], "")</f>
        <v/>
      </c>
      <c r="G83" s="74"/>
      <c r="H83" s="57"/>
      <c r="I83" s="57"/>
      <c r="J83" s="57"/>
      <c r="K83" s="57"/>
      <c r="L83" s="57" t="str">
        <f>IFERROR(Table6[[#This Row],[Redbook WAC price per tablet/capsule (Jul 2016)]]/Table6[[#This Row],[Redbook package strength (mg) (Jul 2016)]], "")</f>
        <v/>
      </c>
      <c r="M83" s="74"/>
      <c r="N83" s="57"/>
      <c r="O83" s="57"/>
      <c r="P83" s="57"/>
      <c r="Q83" s="57"/>
      <c r="R83" s="57" t="str">
        <f>IFERROR(Table6[[#This Row],[Redbook WAC price per tablet/capsule (Jan 2017)]]/Table6[[#This Row],[Redbook package strength (mg) (Jan 2017)]], "")</f>
        <v/>
      </c>
      <c r="S83" s="74"/>
      <c r="T83" s="57"/>
      <c r="U83" s="57"/>
      <c r="V83" s="57"/>
      <c r="W83" s="284"/>
      <c r="X83" s="284" t="str">
        <f>IFERROR(Table6[[#This Row],[Redbook WAC price per tablet/capsule (Jul 2017)]]/Table6[[#This Row],[Redbook package strength (mg) (Jul 2017)]], "")</f>
        <v/>
      </c>
      <c r="Y83" s="57"/>
      <c r="Z83" s="388"/>
      <c r="AA83" s="389"/>
      <c r="AB83" s="158"/>
      <c r="AC83" s="390"/>
      <c r="AD83" s="390"/>
      <c r="AE83" s="391"/>
      <c r="AF83" s="388"/>
      <c r="AG83" s="389"/>
      <c r="AH83" s="397"/>
      <c r="AI83" s="399"/>
      <c r="AJ83" s="399"/>
      <c r="AK83" s="391"/>
      <c r="AL83" s="57"/>
      <c r="AM83" s="57"/>
      <c r="AN83" s="57"/>
      <c r="AO83" s="58"/>
      <c r="AP83" s="58" t="str">
        <f>IFERROR(Table6[[#This Row],[Redbook WAC price per tablet/capsule (Jan 2019)]]/Table6[[#This Row],[Redbook package strength (mg) (Jan 2019)]], "")</f>
        <v/>
      </c>
      <c r="AQ83" s="74"/>
      <c r="AR83" s="73"/>
      <c r="AS83" s="57"/>
      <c r="AT83" s="57"/>
      <c r="AU83" s="58"/>
      <c r="AV83" s="58" t="str">
        <f>IFERROR(Table6[[#This Row],[Redbook WAC price per tablet/capsule (Jul 2019)]]/Table6[[#This Row],[Redbook package strength (mg) (Jul 2019)]], "")</f>
        <v/>
      </c>
      <c r="AW83" s="74"/>
      <c r="BA83" s="59"/>
      <c r="BB83" s="59" t="str">
        <f>IFERROR(Table6[[#This Row],[Redbook WAC price per tablet/capsule (Jan 2020)]]/Table6[[#This Row],[Redbook package strength (mg) (Jan 2020)]], "")</f>
        <v/>
      </c>
      <c r="BD83" s="73" t="s">
        <v>1758</v>
      </c>
      <c r="BE83" s="57" t="s">
        <v>1682</v>
      </c>
      <c r="BF83" s="57">
        <v>150</v>
      </c>
      <c r="BG83" s="58">
        <v>154.16669999999999</v>
      </c>
      <c r="BH83" s="58">
        <f>IFERROR(Table6[[#This Row],[Redbook WAC price per tablet/capsule (Jul 2020)]]/Table6[[#This Row],[Redbook package strength (mg) (Jul 2020)]], "")</f>
        <v>1.0277779999999999</v>
      </c>
      <c r="BI83" s="74" t="s">
        <v>1741</v>
      </c>
      <c r="BJ83" s="57" t="s">
        <v>1758</v>
      </c>
      <c r="BK83" s="57" t="s">
        <v>1682</v>
      </c>
      <c r="BL83" s="57">
        <v>150</v>
      </c>
      <c r="BM83" s="58">
        <v>164.95832999999999</v>
      </c>
      <c r="BN83" s="58">
        <f>IFERROR(Table6[[#This Row],[Redbook WAC price per tablet/capsule (Jan 2021)]]/Table6[[#This Row],[Redbook package strength (mg) (Jan 2021)]], "")</f>
        <v>1.0997222</v>
      </c>
      <c r="BO83" s="57" t="s">
        <v>1741</v>
      </c>
      <c r="BP83" s="73" t="s">
        <v>1758</v>
      </c>
      <c r="BQ83" s="57" t="s">
        <v>1682</v>
      </c>
      <c r="BR83" s="57">
        <v>150</v>
      </c>
      <c r="BS83" s="58">
        <v>164.95832999999999</v>
      </c>
      <c r="BT83" s="58">
        <f>IFERROR(Table6[[#This Row],[Redbook WAC price per tablet/capsule (Jul 2021)]]/Table6[[#This Row],[Redbook package strength (mg) (Jul 2021)]], "")</f>
        <v>1.0997222</v>
      </c>
      <c r="BU83" s="57" t="s">
        <v>1741</v>
      </c>
      <c r="BV83" s="186" t="s">
        <v>1758</v>
      </c>
      <c r="BW83" s="158" t="s">
        <v>1682</v>
      </c>
      <c r="BX83" s="57">
        <v>150</v>
      </c>
      <c r="BY83" s="58">
        <v>179.8</v>
      </c>
      <c r="BZ83" s="58">
        <f>IFERROR(Table6[[#This Row],[Redbook WAC price per tablet/capsule (Jan 2022)]]/Table6[[#This Row],[Redbook package strength (mg) (Jan 2022)]], "")</f>
        <v>1.1986666666666668</v>
      </c>
      <c r="CA83" s="74" t="s">
        <v>1741</v>
      </c>
      <c r="CB83" s="57" t="s">
        <v>1758</v>
      </c>
      <c r="CC83" s="158" t="s">
        <v>1682</v>
      </c>
      <c r="CD83" s="57">
        <v>150</v>
      </c>
      <c r="CE83" s="58">
        <v>179.8</v>
      </c>
      <c r="CF83" s="58">
        <f>IFERROR(Table6[[#This Row],[Redbook WAC price per tablet/capsule (Jul 2022)]]/Table6[[#This Row],[Redbook package strength (mg) (Jul 2022)]], "")</f>
        <v>1.1986666666666668</v>
      </c>
      <c r="CG83" s="74" t="s">
        <v>1741</v>
      </c>
      <c r="CH83" s="57" t="s">
        <v>1758</v>
      </c>
      <c r="CI83" s="57" t="s">
        <v>1682</v>
      </c>
      <c r="CJ83" s="57">
        <v>150</v>
      </c>
      <c r="CK83" s="58">
        <v>195.95</v>
      </c>
      <c r="CL83" s="58">
        <f>IFERROR(Table6[[#This Row],[Redbook WAC price per tablet/capsule (Jan 2023)]]/Table6[[#This Row],[Redbook package strength (mg) (Jan 2023)]], "")</f>
        <v>1.3063333333333333</v>
      </c>
      <c r="CM83" s="57" t="s">
        <v>1741</v>
      </c>
    </row>
    <row r="84" spans="1:92" x14ac:dyDescent="0.3">
      <c r="A84" s="85" t="s">
        <v>1651</v>
      </c>
      <c r="B84" s="57"/>
      <c r="C84" s="57"/>
      <c r="D84" s="57"/>
      <c r="E84" s="57"/>
      <c r="F84" s="57" t="str">
        <f>IFERROR(Table6[[#This Row],[Redbook WAC price per tablet/capsule (Jan 2016)]]/Table6[[#This Row],[Redbook package strength (mg) (Jan 2016)]], "")</f>
        <v/>
      </c>
      <c r="G84" s="74"/>
      <c r="H84" s="57"/>
      <c r="I84" s="57"/>
      <c r="J84" s="57"/>
      <c r="K84" s="57"/>
      <c r="L84" s="57" t="str">
        <f>IFERROR(Table6[[#This Row],[Redbook WAC price per tablet/capsule (Jul 2016)]]/Table6[[#This Row],[Redbook package strength (mg) (Jul 2016)]], "")</f>
        <v/>
      </c>
      <c r="M84" s="74"/>
      <c r="N84" s="57"/>
      <c r="O84" s="57"/>
      <c r="P84" s="57"/>
      <c r="Q84" s="57"/>
      <c r="R84" s="57" t="str">
        <f>IFERROR(Table6[[#This Row],[Redbook WAC price per tablet/capsule (Jan 2017)]]/Table6[[#This Row],[Redbook package strength (mg) (Jan 2017)]], "")</f>
        <v/>
      </c>
      <c r="S84" s="74"/>
      <c r="T84" s="57"/>
      <c r="U84" s="57"/>
      <c r="V84" s="57"/>
      <c r="W84" s="284"/>
      <c r="X84" s="284" t="str">
        <f>IFERROR(Table6[[#This Row],[Redbook WAC price per tablet/capsule (Jul 2017)]]/Table6[[#This Row],[Redbook package strength (mg) (Jul 2017)]], "")</f>
        <v/>
      </c>
      <c r="Y84" s="57"/>
      <c r="Z84" s="388"/>
      <c r="AA84" s="389"/>
      <c r="AB84" s="158"/>
      <c r="AC84" s="390"/>
      <c r="AD84" s="390"/>
      <c r="AE84" s="391"/>
      <c r="AF84" s="388"/>
      <c r="AG84" s="389"/>
      <c r="AH84" s="397"/>
      <c r="AI84" s="399"/>
      <c r="AJ84" s="399"/>
      <c r="AK84" s="391"/>
      <c r="AL84" s="57" t="s">
        <v>1757</v>
      </c>
      <c r="AM84" s="57" t="s">
        <v>1683</v>
      </c>
      <c r="AN84" s="57">
        <v>40</v>
      </c>
      <c r="AO84" s="58">
        <v>63.583300000000001</v>
      </c>
      <c r="AP84" s="58">
        <f>IFERROR(Table6[[#This Row],[Redbook WAC price per tablet/capsule (Jan 2019)]]/Table6[[#This Row],[Redbook package strength (mg) (Jan 2019)]], "")</f>
        <v>1.5895825000000001</v>
      </c>
      <c r="AQ84" s="74" t="s">
        <v>1741</v>
      </c>
      <c r="AR84" s="73" t="s">
        <v>1757</v>
      </c>
      <c r="AS84" s="57" t="s">
        <v>1683</v>
      </c>
      <c r="AT84" s="57">
        <v>40</v>
      </c>
      <c r="AU84" s="58">
        <v>69.877799999999993</v>
      </c>
      <c r="AV84" s="58">
        <f>IFERROR(Table6[[#This Row],[Redbook WAC price per tablet/capsule (Jul 2019)]]/Table6[[#This Row],[Redbook package strength (mg) (Jul 2019)]], "")</f>
        <v>1.7469449999999997</v>
      </c>
      <c r="AW84" s="74" t="s">
        <v>1741</v>
      </c>
      <c r="AX84" s="73" t="s">
        <v>1757</v>
      </c>
      <c r="AY84" s="57" t="s">
        <v>1683</v>
      </c>
      <c r="AZ84" s="57">
        <v>40</v>
      </c>
      <c r="BA84" s="59">
        <v>76.794399999999996</v>
      </c>
      <c r="BB84" s="59">
        <f>IFERROR(Table6[[#This Row],[Redbook WAC price per tablet/capsule (Jan 2020)]]/Table6[[#This Row],[Redbook package strength (mg) (Jan 2020)]], "")</f>
        <v>1.9198599999999999</v>
      </c>
      <c r="BC84" t="s">
        <v>1741</v>
      </c>
      <c r="BD84" s="73" t="s">
        <v>1757</v>
      </c>
      <c r="BE84" s="57" t="s">
        <v>1683</v>
      </c>
      <c r="BF84" s="57">
        <v>40</v>
      </c>
      <c r="BG84" s="58">
        <v>84.394499999999994</v>
      </c>
      <c r="BH84" s="58">
        <f>IFERROR(Table6[[#This Row],[Redbook WAC price per tablet/capsule (Jul 2020)]]/Table6[[#This Row],[Redbook package strength (mg) (Jul 2020)]], "")</f>
        <v>2.1098624999999998</v>
      </c>
      <c r="BI84" s="74" t="s">
        <v>1741</v>
      </c>
      <c r="BJ84" s="57" t="s">
        <v>1757</v>
      </c>
      <c r="BK84" s="57" t="s">
        <v>1683</v>
      </c>
      <c r="BL84" s="57">
        <v>40</v>
      </c>
      <c r="BM84" s="58">
        <v>92.75</v>
      </c>
      <c r="BN84" s="58">
        <f>IFERROR(Table6[[#This Row],[Redbook WAC price per tablet/capsule (Jan 2021)]]/Table6[[#This Row],[Redbook package strength (mg) (Jan 2021)]], "")</f>
        <v>2.3187500000000001</v>
      </c>
      <c r="BO84" s="57" t="s">
        <v>1741</v>
      </c>
      <c r="BP84" s="73" t="s">
        <v>1757</v>
      </c>
      <c r="BQ84" s="57" t="s">
        <v>1683</v>
      </c>
      <c r="BR84" s="57">
        <v>40</v>
      </c>
      <c r="BS84" s="58">
        <v>97.30556</v>
      </c>
      <c r="BT84" s="58">
        <f>IFERROR(Table6[[#This Row],[Redbook WAC price per tablet/capsule (Jul 2021)]]/Table6[[#This Row],[Redbook package strength (mg) (Jul 2021)]], "")</f>
        <v>2.432639</v>
      </c>
      <c r="BU84" s="57" t="s">
        <v>1741</v>
      </c>
      <c r="BV84" s="186" t="s">
        <v>1757</v>
      </c>
      <c r="BW84" s="158" t="s">
        <v>1683</v>
      </c>
      <c r="BX84" s="57">
        <v>40</v>
      </c>
      <c r="BY84" s="58">
        <v>102.067667</v>
      </c>
      <c r="BZ84" s="58">
        <f>IFERROR(Table6[[#This Row],[Redbook WAC price per tablet/capsule (Jan 2022)]]/Table6[[#This Row],[Redbook package strength (mg) (Jan 2022)]], "")</f>
        <v>2.5516916749999998</v>
      </c>
      <c r="CA84" s="74" t="s">
        <v>1741</v>
      </c>
      <c r="CB84" s="57" t="s">
        <v>1757</v>
      </c>
      <c r="CC84" s="158" t="s">
        <v>1683</v>
      </c>
      <c r="CD84" s="57">
        <v>40</v>
      </c>
      <c r="CE84" s="58">
        <v>107.08333</v>
      </c>
      <c r="CF84" s="247">
        <f>IFERROR(Table6[[#This Row],[Redbook WAC price per tablet/capsule (Jul 2022)]]/Table6[[#This Row],[Redbook package strength (mg) (Jul 2022)]], "")</f>
        <v>2.6770832499999999</v>
      </c>
      <c r="CG84" s="74" t="s">
        <v>1741</v>
      </c>
      <c r="CH84" s="57" t="s">
        <v>1757</v>
      </c>
      <c r="CI84" s="57" t="s">
        <v>1683</v>
      </c>
      <c r="CJ84" s="57">
        <v>40</v>
      </c>
      <c r="CK84" s="58">
        <v>107.083333333</v>
      </c>
      <c r="CL84" s="58">
        <f>IFERROR(Table6[[#This Row],[Redbook WAC price per tablet/capsule (Jan 2023)]]/Table6[[#This Row],[Redbook package strength (mg) (Jan 2023)]], "")</f>
        <v>2.6770833333250001</v>
      </c>
      <c r="CM84" s="57" t="s">
        <v>1741</v>
      </c>
    </row>
    <row r="85" spans="1:92" x14ac:dyDescent="0.3">
      <c r="A85" s="86" t="s">
        <v>1652</v>
      </c>
      <c r="B85" s="57"/>
      <c r="C85" s="57"/>
      <c r="D85" s="57"/>
      <c r="E85" s="57"/>
      <c r="F85" s="57" t="str">
        <f>IFERROR(Table6[[#This Row],[Redbook WAC price per tablet/capsule (Jan 2016)]]/Table6[[#This Row],[Redbook package strength (mg) (Jan 2016)]], "")</f>
        <v/>
      </c>
      <c r="G85" s="74"/>
      <c r="H85" s="57"/>
      <c r="I85" s="57"/>
      <c r="J85" s="57"/>
      <c r="K85" s="57"/>
      <c r="L85" s="57" t="str">
        <f>IFERROR(Table6[[#This Row],[Redbook WAC price per tablet/capsule (Jul 2016)]]/Table6[[#This Row],[Redbook package strength (mg) (Jul 2016)]], "")</f>
        <v/>
      </c>
      <c r="M85" s="74"/>
      <c r="N85" s="57"/>
      <c r="O85" s="57"/>
      <c r="P85" s="57"/>
      <c r="Q85" s="57"/>
      <c r="R85" s="57" t="str">
        <f>IFERROR(Table6[[#This Row],[Redbook WAC price per tablet/capsule (Jan 2017)]]/Table6[[#This Row],[Redbook package strength (mg) (Jan 2017)]], "")</f>
        <v/>
      </c>
      <c r="S85" s="74"/>
      <c r="T85" s="57"/>
      <c r="U85" s="57"/>
      <c r="V85" s="57"/>
      <c r="W85" s="284"/>
      <c r="X85" s="284" t="str">
        <f>IFERROR(Table6[[#This Row],[Redbook WAC price per tablet/capsule (Jul 2017)]]/Table6[[#This Row],[Redbook package strength (mg) (Jul 2017)]], "")</f>
        <v/>
      </c>
      <c r="Y85" s="57"/>
      <c r="Z85" s="388"/>
      <c r="AA85" s="389"/>
      <c r="AB85" s="158"/>
      <c r="AC85" s="390"/>
      <c r="AD85" s="390"/>
      <c r="AE85" s="391"/>
      <c r="AF85" s="388"/>
      <c r="AG85" s="389"/>
      <c r="AH85" s="397"/>
      <c r="AI85" s="399"/>
      <c r="AJ85" s="399"/>
      <c r="AK85" s="391"/>
      <c r="AL85" s="57"/>
      <c r="AM85" s="57"/>
      <c r="AN85" s="57"/>
      <c r="AO85" s="58"/>
      <c r="AP85" s="58" t="str">
        <f>IFERROR(Table6[[#This Row],[Redbook WAC price per tablet/capsule (Jan 2019)]]/Table6[[#This Row],[Redbook package strength (mg) (Jan 2019)]], "")</f>
        <v/>
      </c>
      <c r="AQ85" s="74"/>
      <c r="AR85" s="73"/>
      <c r="AS85" s="57"/>
      <c r="AT85" s="57"/>
      <c r="AU85" s="58"/>
      <c r="AV85" s="58" t="str">
        <f>IFERROR(Table6[[#This Row],[Redbook WAC price per tablet/capsule (Jul 2019)]]/Table6[[#This Row],[Redbook package strength (mg) (Jul 2019)]], "")</f>
        <v/>
      </c>
      <c r="AW85" s="74"/>
      <c r="BA85" s="59"/>
      <c r="BB85" s="59" t="str">
        <f>IFERROR(Table6[[#This Row],[Redbook WAC price per tablet/capsule (Jan 2020)]]/Table6[[#This Row],[Redbook package strength (mg) (Jan 2020)]], "")</f>
        <v/>
      </c>
      <c r="BD85" s="73" t="s">
        <v>1756</v>
      </c>
      <c r="BE85" s="57" t="s">
        <v>1684</v>
      </c>
      <c r="BF85" s="57">
        <v>80</v>
      </c>
      <c r="BG85" s="58">
        <v>171.66667000000001</v>
      </c>
      <c r="BH85" s="58">
        <f>IFERROR(Table6[[#This Row],[Redbook WAC price per tablet/capsule (Jul 2020)]]/Table6[[#This Row],[Redbook package strength (mg) (Jul 2020)]], "")</f>
        <v>2.145833375</v>
      </c>
      <c r="BI85" s="74" t="s">
        <v>1741</v>
      </c>
      <c r="BJ85" s="57" t="s">
        <v>1756</v>
      </c>
      <c r="BK85" s="57" t="s">
        <v>1684</v>
      </c>
      <c r="BL85" s="57">
        <v>80</v>
      </c>
      <c r="BM85" s="58">
        <v>171.66667000000001</v>
      </c>
      <c r="BN85" s="58">
        <f>IFERROR(Table6[[#This Row],[Redbook WAC price per tablet/capsule (Jan 2021)]]/Table6[[#This Row],[Redbook package strength (mg) (Jan 2021)]], "")</f>
        <v>2.145833375</v>
      </c>
      <c r="BO85" s="57" t="s">
        <v>1741</v>
      </c>
      <c r="BP85" s="73" t="s">
        <v>1756</v>
      </c>
      <c r="BQ85" s="57" t="s">
        <v>1684</v>
      </c>
      <c r="BR85" s="57">
        <v>80</v>
      </c>
      <c r="BS85" s="58">
        <v>171.66667000000001</v>
      </c>
      <c r="BT85" s="58">
        <f>IFERROR(Table6[[#This Row],[Redbook WAC price per tablet/capsule (Jul 2021)]]/Table6[[#This Row],[Redbook package strength (mg) (Jul 2021)]], "")</f>
        <v>2.145833375</v>
      </c>
      <c r="BU85" s="57" t="s">
        <v>1741</v>
      </c>
      <c r="BV85" s="186" t="s">
        <v>1756</v>
      </c>
      <c r="BW85" s="158" t="s">
        <v>1684</v>
      </c>
      <c r="BX85" s="57">
        <v>80</v>
      </c>
      <c r="BY85" s="58">
        <v>171.67</v>
      </c>
      <c r="BZ85" s="58">
        <f>IFERROR(Table6[[#This Row],[Redbook WAC price per tablet/capsule (Jan 2022)]]/Table6[[#This Row],[Redbook package strength (mg) (Jan 2022)]], "")</f>
        <v>2.1458749999999998</v>
      </c>
      <c r="CA85" s="74" t="s">
        <v>1741</v>
      </c>
      <c r="CB85" s="57" t="s">
        <v>1756</v>
      </c>
      <c r="CC85" s="158" t="s">
        <v>1684</v>
      </c>
      <c r="CD85" s="57">
        <v>80</v>
      </c>
      <c r="CE85" s="58">
        <v>171.66667000000001</v>
      </c>
      <c r="CF85" s="58">
        <f>IFERROR(Table6[[#This Row],[Redbook WAC price per tablet/capsule (Jul 2022)]]/Table6[[#This Row],[Redbook package strength (mg) (Jul 2022)]], "")</f>
        <v>2.145833375</v>
      </c>
      <c r="CG85" s="74" t="s">
        <v>1741</v>
      </c>
      <c r="CH85" s="57" t="s">
        <v>1756</v>
      </c>
      <c r="CI85" s="57" t="s">
        <v>1684</v>
      </c>
      <c r="CJ85" s="57">
        <v>80</v>
      </c>
      <c r="CK85" s="58">
        <v>176.82</v>
      </c>
      <c r="CL85" s="58">
        <f>IFERROR(Table6[[#This Row],[Redbook WAC price per tablet/capsule (Jan 2023)]]/Table6[[#This Row],[Redbook package strength (mg) (Jan 2023)]], "")</f>
        <v>2.2102499999999998</v>
      </c>
      <c r="CM85" s="57" t="s">
        <v>1741</v>
      </c>
    </row>
    <row r="86" spans="1:92" x14ac:dyDescent="0.3">
      <c r="A86" s="87" t="s">
        <v>1653</v>
      </c>
      <c r="B86" s="57"/>
      <c r="C86" s="57"/>
      <c r="D86" s="57"/>
      <c r="E86" s="57"/>
      <c r="F86" s="57" t="str">
        <f>IFERROR(Table6[[#This Row],[Redbook WAC price per tablet/capsule (Jan 2016)]]/Table6[[#This Row],[Redbook package strength (mg) (Jan 2016)]], "")</f>
        <v/>
      </c>
      <c r="G86" s="74"/>
      <c r="H86" s="57"/>
      <c r="I86" s="57"/>
      <c r="J86" s="57"/>
      <c r="K86" s="57"/>
      <c r="L86" s="57" t="str">
        <f>IFERROR(Table6[[#This Row],[Redbook WAC price per tablet/capsule (Jul 2016)]]/Table6[[#This Row],[Redbook package strength (mg) (Jul 2016)]], "")</f>
        <v/>
      </c>
      <c r="M86" s="74"/>
      <c r="N86" s="57"/>
      <c r="O86" s="57"/>
      <c r="P86" s="57"/>
      <c r="Q86" s="57"/>
      <c r="R86" s="57" t="str">
        <f>IFERROR(Table6[[#This Row],[Redbook WAC price per tablet/capsule (Jan 2017)]]/Table6[[#This Row],[Redbook package strength (mg) (Jan 2017)]], "")</f>
        <v/>
      </c>
      <c r="S86" s="74"/>
      <c r="T86" s="57"/>
      <c r="U86" s="57"/>
      <c r="V86" s="57"/>
      <c r="W86" s="284"/>
      <c r="X86" s="284" t="str">
        <f>IFERROR(Table6[[#This Row],[Redbook WAC price per tablet/capsule (Jul 2017)]]/Table6[[#This Row],[Redbook package strength (mg) (Jul 2017)]], "")</f>
        <v/>
      </c>
      <c r="Y86" s="57"/>
      <c r="Z86" s="388"/>
      <c r="AA86" s="389"/>
      <c r="AB86" s="158"/>
      <c r="AC86" s="390"/>
      <c r="AD86" s="390"/>
      <c r="AE86" s="391"/>
      <c r="AF86" s="388"/>
      <c r="AG86" s="389"/>
      <c r="AH86" s="397"/>
      <c r="AI86" s="399"/>
      <c r="AJ86" s="399"/>
      <c r="AK86" s="391"/>
      <c r="AL86" s="57" t="s">
        <v>1807</v>
      </c>
      <c r="AM86" s="57" t="s">
        <v>1685</v>
      </c>
      <c r="AN86" s="57">
        <v>300</v>
      </c>
      <c r="AO86">
        <v>450.74939999999998</v>
      </c>
      <c r="AP86" s="58">
        <f>IFERROR(Table6[[#This Row],[Redbook WAC price per tablet/capsule (Jan 2019)]]/Table6[[#This Row],[Redbook package strength (mg) (Jan 2019)]], "")</f>
        <v>1.5024979999999999</v>
      </c>
      <c r="AQ86" s="74" t="s">
        <v>1741</v>
      </c>
      <c r="AR86" s="73" t="s">
        <v>1807</v>
      </c>
      <c r="AS86" s="57" t="s">
        <v>1685</v>
      </c>
      <c r="AT86" s="57">
        <v>300</v>
      </c>
      <c r="AU86">
        <v>464.26670000000001</v>
      </c>
      <c r="AV86" s="58">
        <f>IFERROR(Table6[[#This Row],[Redbook WAC price per tablet/capsule (Jul 2019)]]/Table6[[#This Row],[Redbook package strength (mg) (Jul 2019)]], "")</f>
        <v>1.5475556666666668</v>
      </c>
      <c r="AW86" s="74" t="s">
        <v>1741</v>
      </c>
      <c r="AX86" s="73" t="s">
        <v>1807</v>
      </c>
      <c r="AY86" s="57" t="s">
        <v>1685</v>
      </c>
      <c r="AZ86" s="57">
        <v>300</v>
      </c>
      <c r="BA86">
        <v>464.26670000000001</v>
      </c>
      <c r="BB86" s="59">
        <f>IFERROR(Table6[[#This Row],[Redbook WAC price per tablet/capsule (Jan 2020)]]/Table6[[#This Row],[Redbook package strength (mg) (Jan 2020)]], "")</f>
        <v>1.5475556666666668</v>
      </c>
      <c r="BC86" t="s">
        <v>1741</v>
      </c>
      <c r="BD86" s="73" t="s">
        <v>1807</v>
      </c>
      <c r="BE86" s="57" t="s">
        <v>1685</v>
      </c>
      <c r="BF86" s="57">
        <v>300</v>
      </c>
      <c r="BG86">
        <v>489.33699999999999</v>
      </c>
      <c r="BH86" s="58">
        <f>IFERROR(Table6[[#This Row],[Redbook WAC price per tablet/capsule (Jul 2020)]]/Table6[[#This Row],[Redbook package strength (mg) (Jul 2020)]], "")</f>
        <v>1.6311233333333333</v>
      </c>
      <c r="BI86" s="74" t="s">
        <v>1741</v>
      </c>
      <c r="BJ86" s="57" t="s">
        <v>1807</v>
      </c>
      <c r="BK86" s="57" t="s">
        <v>1685</v>
      </c>
      <c r="BL86" s="57">
        <v>300</v>
      </c>
      <c r="BM86" s="58">
        <v>489.33699999999999</v>
      </c>
      <c r="BN86" s="58">
        <f>IFERROR(Table6[[#This Row],[Redbook WAC price per tablet/capsule (Jan 2021)]]/Table6[[#This Row],[Redbook package strength (mg) (Jan 2021)]], "")</f>
        <v>1.6311233333333333</v>
      </c>
      <c r="BO86" s="57" t="s">
        <v>1741</v>
      </c>
      <c r="BP86" s="73" t="s">
        <v>1807</v>
      </c>
      <c r="BQ86" s="57" t="s">
        <v>1685</v>
      </c>
      <c r="BR86" s="57">
        <v>300</v>
      </c>
      <c r="BS86" s="58">
        <v>514.29332999999997</v>
      </c>
      <c r="BT86" s="58">
        <f>IFERROR(Table6[[#This Row],[Redbook WAC price per tablet/capsule (Jul 2021)]]/Table6[[#This Row],[Redbook package strength (mg) (Jul 2021)]], "")</f>
        <v>1.7143111</v>
      </c>
      <c r="BU86" s="57" t="s">
        <v>1741</v>
      </c>
      <c r="BV86" s="186" t="s">
        <v>1807</v>
      </c>
      <c r="BW86" s="158" t="s">
        <v>1685</v>
      </c>
      <c r="BX86" s="57">
        <v>300</v>
      </c>
      <c r="BY86" s="58">
        <v>514.29</v>
      </c>
      <c r="BZ86" s="58">
        <f>IFERROR(Table6[[#This Row],[Redbook WAC price per tablet/capsule (Jan 2022)]]/Table6[[#This Row],[Redbook package strength (mg) (Jan 2022)]], "")</f>
        <v>1.7142999999999999</v>
      </c>
      <c r="CA86" s="74" t="s">
        <v>1741</v>
      </c>
      <c r="CB86" s="57" t="s">
        <v>1807</v>
      </c>
      <c r="CC86" s="158" t="s">
        <v>1685</v>
      </c>
      <c r="CD86" s="57">
        <v>300</v>
      </c>
      <c r="CE86" s="58">
        <v>537.43667000000005</v>
      </c>
      <c r="CF86" s="247">
        <f>IFERROR(Table6[[#This Row],[Redbook WAC price per tablet/capsule (Jul 2022)]]/Table6[[#This Row],[Redbook package strength (mg) (Jul 2022)]], "")</f>
        <v>1.7914555666666667</v>
      </c>
      <c r="CG86" s="74" t="s">
        <v>1741</v>
      </c>
      <c r="CH86" s="57" t="s">
        <v>1807</v>
      </c>
      <c r="CI86" s="57" t="s">
        <v>1685</v>
      </c>
      <c r="CJ86" s="57">
        <v>300</v>
      </c>
      <c r="CK86" s="58">
        <v>537.43666666700005</v>
      </c>
      <c r="CL86" s="58">
        <f>IFERROR(Table6[[#This Row],[Redbook WAC price per tablet/capsule (Jan 2023)]]/Table6[[#This Row],[Redbook package strength (mg) (Jan 2023)]], "")</f>
        <v>1.7914555555566669</v>
      </c>
      <c r="CM86" s="57" t="s">
        <v>1741</v>
      </c>
    </row>
    <row r="87" spans="1:92" x14ac:dyDescent="0.3">
      <c r="A87" s="86" t="s">
        <v>1655</v>
      </c>
      <c r="B87" s="57"/>
      <c r="C87" s="57"/>
      <c r="D87" s="57"/>
      <c r="E87" s="57"/>
      <c r="F87" s="57" t="str">
        <f>IFERROR(Table6[[#This Row],[Redbook WAC price per tablet/capsule (Jan 2016)]]/Table6[[#This Row],[Redbook package strength (mg) (Jan 2016)]], "")</f>
        <v/>
      </c>
      <c r="G87" s="74"/>
      <c r="H87" s="57"/>
      <c r="I87" s="57"/>
      <c r="J87" s="57"/>
      <c r="K87" s="57"/>
      <c r="L87" s="57" t="str">
        <f>IFERROR(Table6[[#This Row],[Redbook WAC price per tablet/capsule (Jul 2016)]]/Table6[[#This Row],[Redbook package strength (mg) (Jul 2016)]], "")</f>
        <v/>
      </c>
      <c r="M87" s="74"/>
      <c r="N87" s="57"/>
      <c r="O87" s="57"/>
      <c r="P87" s="57"/>
      <c r="Q87" s="57"/>
      <c r="R87" s="57" t="str">
        <f>IFERROR(Table6[[#This Row],[Redbook WAC price per tablet/capsule (Jan 2017)]]/Table6[[#This Row],[Redbook package strength (mg) (Jan 2017)]], "")</f>
        <v/>
      </c>
      <c r="S87" s="74"/>
      <c r="T87" s="57"/>
      <c r="U87" s="57"/>
      <c r="V87" s="57"/>
      <c r="W87" s="284"/>
      <c r="X87" s="284" t="str">
        <f>IFERROR(Table6[[#This Row],[Redbook WAC price per tablet/capsule (Jul 2017)]]/Table6[[#This Row],[Redbook package strength (mg) (Jul 2017)]], "")</f>
        <v/>
      </c>
      <c r="Y87" s="57"/>
      <c r="Z87" s="388"/>
      <c r="AA87" s="389"/>
      <c r="AB87" s="158"/>
      <c r="AC87" s="390"/>
      <c r="AD87" s="390"/>
      <c r="AE87" s="391"/>
      <c r="AF87" s="388"/>
      <c r="AG87" s="389"/>
      <c r="AH87" s="397"/>
      <c r="AI87" s="399"/>
      <c r="AJ87" s="399"/>
      <c r="AK87" s="391"/>
      <c r="AL87" s="57"/>
      <c r="AM87" s="57"/>
      <c r="AN87" s="57"/>
      <c r="AO87" s="58"/>
      <c r="AP87" s="58" t="str">
        <f>IFERROR(Table6[[#This Row],[Redbook WAC price per tablet/capsule (Jan 2019)]]/Table6[[#This Row],[Redbook package strength (mg) (Jan 2019)]], "")</f>
        <v/>
      </c>
      <c r="AQ87" s="74"/>
      <c r="AR87" s="73"/>
      <c r="AS87" s="57"/>
      <c r="AT87" s="57"/>
      <c r="AU87" s="58"/>
      <c r="AV87" s="58" t="str">
        <f>IFERROR(Table6[[#This Row],[Redbook WAC price per tablet/capsule (Jul 2019)]]/Table6[[#This Row],[Redbook package strength (mg) (Jul 2019)]], "")</f>
        <v/>
      </c>
      <c r="AW87" s="74"/>
      <c r="AX87" t="s">
        <v>1755</v>
      </c>
      <c r="AY87" t="s">
        <v>1686</v>
      </c>
      <c r="AZ87">
        <v>80</v>
      </c>
      <c r="BA87" s="59">
        <v>107.79170000000001</v>
      </c>
      <c r="BB87" s="59">
        <f>IFERROR(Table6[[#This Row],[Redbook WAC price per tablet/capsule (Jan 2020)]]/Table6[[#This Row],[Redbook package strength (mg) (Jan 2020)]], "")</f>
        <v>1.3473962500000001</v>
      </c>
      <c r="BC87" t="s">
        <v>1741</v>
      </c>
      <c r="BD87" s="73" t="s">
        <v>1755</v>
      </c>
      <c r="BE87" t="s">
        <v>1686</v>
      </c>
      <c r="BF87">
        <v>80</v>
      </c>
      <c r="BG87" s="58">
        <v>107.79170000000001</v>
      </c>
      <c r="BH87" s="58">
        <f>IFERROR(Table6[[#This Row],[Redbook WAC price per tablet/capsule (Jul 2020)]]/Table6[[#This Row],[Redbook package strength (mg) (Jul 2020)]], "")</f>
        <v>1.3473962500000001</v>
      </c>
      <c r="BI87" s="74" t="s">
        <v>1741</v>
      </c>
      <c r="BJ87" s="57" t="s">
        <v>1755</v>
      </c>
      <c r="BK87" s="57" t="s">
        <v>1686</v>
      </c>
      <c r="BL87" s="57">
        <v>80</v>
      </c>
      <c r="BM87" s="58">
        <v>107.79170000000001</v>
      </c>
      <c r="BN87" s="58">
        <f>IFERROR(Table6[[#This Row],[Redbook WAC price per tablet/capsule (Jan 2021)]]/Table6[[#This Row],[Redbook package strength (mg) (Jan 2021)]], "")</f>
        <v>1.3473962500000001</v>
      </c>
      <c r="BO87" s="57" t="s">
        <v>1741</v>
      </c>
      <c r="BP87" s="73" t="s">
        <v>1755</v>
      </c>
      <c r="BQ87" s="57" t="s">
        <v>1686</v>
      </c>
      <c r="BR87" s="57">
        <v>80</v>
      </c>
      <c r="BS87" s="58">
        <v>112.425</v>
      </c>
      <c r="BT87" s="58">
        <f>IFERROR(Table6[[#This Row],[Redbook WAC price per tablet/capsule (Jul 2021)]]/Table6[[#This Row],[Redbook package strength (mg) (Jul 2021)]], "")</f>
        <v>1.4053125</v>
      </c>
      <c r="BU87" s="57" t="s">
        <v>1741</v>
      </c>
      <c r="BV87" s="186" t="s">
        <v>1755</v>
      </c>
      <c r="BW87" s="158" t="s">
        <v>1686</v>
      </c>
      <c r="BX87" s="57">
        <v>80</v>
      </c>
      <c r="BY87" s="58">
        <v>112.43</v>
      </c>
      <c r="BZ87" s="58">
        <f>IFERROR(Table6[[#This Row],[Redbook WAC price per tablet/capsule (Jan 2022)]]/Table6[[#This Row],[Redbook package strength (mg) (Jan 2022)]], "")</f>
        <v>1.405375</v>
      </c>
      <c r="CA87" s="74" t="s">
        <v>1741</v>
      </c>
      <c r="CB87" s="57" t="s">
        <v>1755</v>
      </c>
      <c r="CC87" s="158" t="s">
        <v>1686</v>
      </c>
      <c r="CD87" s="57">
        <v>80</v>
      </c>
      <c r="CE87" s="58">
        <v>116.64167</v>
      </c>
      <c r="CF87" s="247">
        <f>IFERROR(Table6[[#This Row],[Redbook WAC price per tablet/capsule (Jul 2022)]]/Table6[[#This Row],[Redbook package strength (mg) (Jul 2022)]], "")</f>
        <v>1.4580208750000001</v>
      </c>
      <c r="CG87" s="74" t="s">
        <v>1741</v>
      </c>
      <c r="CH87" s="57" t="s">
        <v>1755</v>
      </c>
      <c r="CI87" s="57" t="s">
        <v>1686</v>
      </c>
      <c r="CJ87" s="57">
        <v>80</v>
      </c>
      <c r="CK87" s="58">
        <v>116.641666667</v>
      </c>
      <c r="CL87" s="58">
        <f>IFERROR(Table6[[#This Row],[Redbook WAC price per tablet/capsule (Jan 2023)]]/Table6[[#This Row],[Redbook package strength (mg) (Jan 2023)]], "")</f>
        <v>1.4580208333375</v>
      </c>
      <c r="CM87" s="57" t="s">
        <v>1741</v>
      </c>
    </row>
    <row r="88" spans="1:92" x14ac:dyDescent="0.3">
      <c r="A88" s="87" t="s">
        <v>1656</v>
      </c>
      <c r="B88" s="57"/>
      <c r="C88" s="57"/>
      <c r="D88" s="57"/>
      <c r="E88" s="57"/>
      <c r="F88" s="57" t="str">
        <f>IFERROR(Table6[[#This Row],[Redbook WAC price per tablet/capsule (Jan 2016)]]/Table6[[#This Row],[Redbook package strength (mg) (Jan 2016)]], "")</f>
        <v/>
      </c>
      <c r="G88" s="74"/>
      <c r="H88" s="57"/>
      <c r="I88" s="57"/>
      <c r="J88" s="57"/>
      <c r="K88" s="57"/>
      <c r="L88" s="57" t="str">
        <f>IFERROR(Table6[[#This Row],[Redbook WAC price per tablet/capsule (Jul 2016)]]/Table6[[#This Row],[Redbook package strength (mg) (Jul 2016)]], "")</f>
        <v/>
      </c>
      <c r="M88" s="74"/>
      <c r="N88" s="57"/>
      <c r="O88" s="57"/>
      <c r="P88" s="57"/>
      <c r="Q88" s="57"/>
      <c r="R88" s="57" t="str">
        <f>IFERROR(Table6[[#This Row],[Redbook WAC price per tablet/capsule (Jan 2017)]]/Table6[[#This Row],[Redbook package strength (mg) (Jan 2017)]], "")</f>
        <v/>
      </c>
      <c r="S88" s="74"/>
      <c r="T88" s="57"/>
      <c r="U88" s="57"/>
      <c r="V88" s="57"/>
      <c r="W88" s="284"/>
      <c r="X88" s="284" t="str">
        <f>IFERROR(Table6[[#This Row],[Redbook WAC price per tablet/capsule (Jul 2017)]]/Table6[[#This Row],[Redbook package strength (mg) (Jul 2017)]], "")</f>
        <v/>
      </c>
      <c r="Y88" s="57"/>
      <c r="Z88" s="388"/>
      <c r="AA88" s="389"/>
      <c r="AB88" s="158"/>
      <c r="AC88" s="390"/>
      <c r="AD88" s="390"/>
      <c r="AE88" s="391"/>
      <c r="AF88" s="388"/>
      <c r="AG88" s="389"/>
      <c r="AH88" s="397"/>
      <c r="AI88" s="399"/>
      <c r="AJ88" s="399"/>
      <c r="AK88" s="391"/>
      <c r="AL88" s="57"/>
      <c r="AM88" s="57"/>
      <c r="AN88" s="57"/>
      <c r="AO88" s="58"/>
      <c r="AP88" s="58" t="str">
        <f>IFERROR(Table6[[#This Row],[Redbook WAC price per tablet/capsule (Jan 2019)]]/Table6[[#This Row],[Redbook package strength (mg) (Jan 2019)]], "")</f>
        <v/>
      </c>
      <c r="AQ88" s="74"/>
      <c r="AR88" s="73"/>
      <c r="AS88" s="57"/>
      <c r="AT88" s="57"/>
      <c r="AU88" s="58"/>
      <c r="AV88" s="58" t="str">
        <f>IFERROR(Table6[[#This Row],[Redbook WAC price per tablet/capsule (Jul 2019)]]/Table6[[#This Row],[Redbook package strength (mg) (Jul 2019)]], "")</f>
        <v/>
      </c>
      <c r="AW88" s="74"/>
      <c r="BA88" s="59"/>
      <c r="BB88" s="59" t="str">
        <f>IFERROR(Table6[[#This Row],[Redbook WAC price per tablet/capsule (Jan 2020)]]/Table6[[#This Row],[Redbook package strength (mg) (Jan 2020)]], "")</f>
        <v/>
      </c>
      <c r="BD88" s="73" t="s">
        <v>1754</v>
      </c>
      <c r="BE88" s="57" t="s">
        <v>1687</v>
      </c>
      <c r="BF88" s="57">
        <v>13.5</v>
      </c>
      <c r="BG88" s="58">
        <v>1214.2857100000001</v>
      </c>
      <c r="BH88" s="58">
        <f>IFERROR(Table6[[#This Row],[Redbook WAC price per tablet/capsule (Jul 2020)]]/Table6[[#This Row],[Redbook package strength (mg) (Jul 2020)]], "")</f>
        <v>89.947089629629644</v>
      </c>
      <c r="BI88" s="74" t="s">
        <v>1741</v>
      </c>
      <c r="BJ88" s="57" t="s">
        <v>1754</v>
      </c>
      <c r="BK88" s="57" t="s">
        <v>1687</v>
      </c>
      <c r="BL88" s="57">
        <v>13.5</v>
      </c>
      <c r="BM88" s="58">
        <v>1214.2857100000001</v>
      </c>
      <c r="BN88" s="58">
        <f>IFERROR(Table6[[#This Row],[Redbook WAC price per tablet/capsule (Jan 2021)]]/Table6[[#This Row],[Redbook package strength (mg) (Jan 2021)]], "")</f>
        <v>89.947089629629644</v>
      </c>
      <c r="BO88" s="57" t="s">
        <v>1741</v>
      </c>
      <c r="BP88" s="73" t="s">
        <v>1754</v>
      </c>
      <c r="BQ88" s="57" t="s">
        <v>1687</v>
      </c>
      <c r="BR88" s="57">
        <v>13.5</v>
      </c>
      <c r="BS88" s="58">
        <v>1214.2857100000001</v>
      </c>
      <c r="BT88" s="58">
        <f>IFERROR(Table6[[#This Row],[Redbook WAC price per tablet/capsule (Jul 2021)]]/Table6[[#This Row],[Redbook package strength (mg) (Jul 2021)]], "")</f>
        <v>89.947089629629644</v>
      </c>
      <c r="BU88" s="57" t="s">
        <v>1741</v>
      </c>
      <c r="BV88" s="186" t="s">
        <v>1754</v>
      </c>
      <c r="BW88" s="158" t="s">
        <v>1687</v>
      </c>
      <c r="BX88" s="57">
        <v>13.5</v>
      </c>
      <c r="BY88" s="58">
        <v>1214.29</v>
      </c>
      <c r="BZ88" s="58">
        <f>IFERROR(Table6[[#This Row],[Redbook WAC price per tablet/capsule (Jan 2022)]]/Table6[[#This Row],[Redbook package strength (mg) (Jan 2022)]], "")</f>
        <v>89.947407407407411</v>
      </c>
      <c r="CA88" s="74" t="s">
        <v>1741</v>
      </c>
      <c r="CB88" s="57" t="s">
        <v>1754</v>
      </c>
      <c r="CC88" s="158" t="s">
        <v>1687</v>
      </c>
      <c r="CD88" s="57">
        <v>13.5</v>
      </c>
      <c r="CE88" s="58">
        <v>1250.7142899999999</v>
      </c>
      <c r="CF88" s="247">
        <f>IFERROR(Table6[[#This Row],[Redbook WAC price per tablet/capsule (Jul 2022)]]/Table6[[#This Row],[Redbook package strength (mg) (Jul 2022)]], "")</f>
        <v>92.645502962962951</v>
      </c>
      <c r="CG88" s="74" t="s">
        <v>1741</v>
      </c>
      <c r="CH88" s="57" t="s">
        <v>1754</v>
      </c>
      <c r="CI88" s="57" t="s">
        <v>1687</v>
      </c>
      <c r="CJ88" s="57">
        <v>12.5</v>
      </c>
      <c r="CK88" s="58">
        <v>1250.7142833299999</v>
      </c>
      <c r="CL88" s="58">
        <f>IFERROR(Table6[[#This Row],[Redbook WAC price per tablet/capsule (Jan 2023)]]/Table6[[#This Row],[Redbook package strength (mg) (Jan 2023)]], "")</f>
        <v>100.0571426664</v>
      </c>
      <c r="CM88" s="57" t="s">
        <v>1741</v>
      </c>
    </row>
    <row r="89" spans="1:92" x14ac:dyDescent="0.3">
      <c r="A89" s="86" t="s">
        <v>1657</v>
      </c>
      <c r="B89" s="57"/>
      <c r="C89" s="57"/>
      <c r="D89" s="57"/>
      <c r="E89" s="57"/>
      <c r="F89" s="57" t="str">
        <f>IFERROR(Table6[[#This Row],[Redbook WAC price per tablet/capsule (Jan 2016)]]/Table6[[#This Row],[Redbook package strength (mg) (Jan 2016)]], "")</f>
        <v/>
      </c>
      <c r="G89" s="74"/>
      <c r="H89" s="57"/>
      <c r="I89" s="57"/>
      <c r="J89" s="57"/>
      <c r="K89" s="57"/>
      <c r="L89" s="57" t="str">
        <f>IFERROR(Table6[[#This Row],[Redbook WAC price per tablet/capsule (Jul 2016)]]/Table6[[#This Row],[Redbook package strength (mg) (Jul 2016)]], "")</f>
        <v/>
      </c>
      <c r="M89" s="74"/>
      <c r="N89" s="57"/>
      <c r="O89" s="57"/>
      <c r="P89" s="57"/>
      <c r="Q89" s="57"/>
      <c r="R89" s="57" t="str">
        <f>IFERROR(Table6[[#This Row],[Redbook WAC price per tablet/capsule (Jan 2017)]]/Table6[[#This Row],[Redbook package strength (mg) (Jan 2017)]], "")</f>
        <v/>
      </c>
      <c r="S89" s="74"/>
      <c r="T89" s="57"/>
      <c r="U89" s="57"/>
      <c r="V89" s="57"/>
      <c r="W89" s="284"/>
      <c r="X89" s="284" t="str">
        <f>IFERROR(Table6[[#This Row],[Redbook WAC price per tablet/capsule (Jul 2017)]]/Table6[[#This Row],[Redbook package strength (mg) (Jul 2017)]], "")</f>
        <v/>
      </c>
      <c r="Y89" s="57"/>
      <c r="Z89" s="388"/>
      <c r="AA89" s="389"/>
      <c r="AB89" s="158"/>
      <c r="AC89" s="390"/>
      <c r="AD89" s="390"/>
      <c r="AE89" s="391"/>
      <c r="AF89" s="388"/>
      <c r="AG89" s="389"/>
      <c r="AH89" s="397"/>
      <c r="AI89" s="399"/>
      <c r="AJ89" s="399"/>
      <c r="AK89" s="391"/>
      <c r="AL89" s="57" t="s">
        <v>1808</v>
      </c>
      <c r="AM89" s="57" t="s">
        <v>1688</v>
      </c>
      <c r="AN89" s="57">
        <v>25</v>
      </c>
      <c r="AO89">
        <v>141.86959999999999</v>
      </c>
      <c r="AP89" s="58">
        <f>IFERROR(Table6[[#This Row],[Redbook WAC price per tablet/capsule (Jan 2019)]]/Table6[[#This Row],[Redbook package strength (mg) (Jan 2019)]], "")</f>
        <v>5.6747839999999998</v>
      </c>
      <c r="AQ89" s="74" t="s">
        <v>1741</v>
      </c>
      <c r="AR89" s="73" t="s">
        <v>1808</v>
      </c>
      <c r="AS89" s="57" t="s">
        <v>1688</v>
      </c>
      <c r="AT89" s="57">
        <v>25</v>
      </c>
      <c r="AU89">
        <v>151.8005</v>
      </c>
      <c r="AV89" s="58">
        <f>IFERROR(Table6[[#This Row],[Redbook WAC price per tablet/capsule (Jul 2019)]]/Table6[[#This Row],[Redbook package strength (mg) (Jul 2019)]], "")</f>
        <v>6.0720200000000002</v>
      </c>
      <c r="AW89" s="74" t="s">
        <v>1741</v>
      </c>
      <c r="AX89" s="73" t="s">
        <v>1808</v>
      </c>
      <c r="AY89" s="57" t="s">
        <v>1688</v>
      </c>
      <c r="AZ89" s="57">
        <v>25</v>
      </c>
      <c r="BA89">
        <v>151.8005</v>
      </c>
      <c r="BB89" s="59">
        <f>IFERROR(Table6[[#This Row],[Redbook WAC price per tablet/capsule (Jan 2020)]]/Table6[[#This Row],[Redbook package strength (mg) (Jan 2020)]], "")</f>
        <v>6.0720200000000002</v>
      </c>
      <c r="BC89" t="s">
        <v>1741</v>
      </c>
      <c r="BD89" s="73" t="s">
        <v>1808</v>
      </c>
      <c r="BE89" s="57" t="s">
        <v>1688</v>
      </c>
      <c r="BF89" s="57">
        <v>25</v>
      </c>
      <c r="BG89">
        <v>160.14959999999999</v>
      </c>
      <c r="BH89" s="58">
        <f>IFERROR(Table6[[#This Row],[Redbook WAC price per tablet/capsule (Jul 2020)]]/Table6[[#This Row],[Redbook package strength (mg) (Jul 2020)]], "")</f>
        <v>6.4059840000000001</v>
      </c>
      <c r="BI89" s="74" t="s">
        <v>1741</v>
      </c>
      <c r="BJ89" s="57" t="s">
        <v>1808</v>
      </c>
      <c r="BK89" s="57" t="s">
        <v>1688</v>
      </c>
      <c r="BL89" s="57">
        <v>25</v>
      </c>
      <c r="BM89" s="58">
        <v>160.14959999999999</v>
      </c>
      <c r="BN89" s="58">
        <f>IFERROR(Table6[[#This Row],[Redbook WAC price per tablet/capsule (Jan 2021)]]/Table6[[#This Row],[Redbook package strength (mg) (Jan 2021)]], "")</f>
        <v>6.4059840000000001</v>
      </c>
      <c r="BO89" s="57" t="s">
        <v>1741</v>
      </c>
      <c r="BP89" s="73" t="s">
        <v>1808</v>
      </c>
      <c r="BQ89" s="57" t="s">
        <v>1688</v>
      </c>
      <c r="BR89" s="57">
        <v>25</v>
      </c>
      <c r="BS89" s="58">
        <v>168.957742</v>
      </c>
      <c r="BT89" s="58">
        <f>IFERROR(Table6[[#This Row],[Redbook WAC price per tablet/capsule (Jul 2021)]]/Table6[[#This Row],[Redbook package strength (mg) (Jul 2021)]], "")</f>
        <v>6.75830968</v>
      </c>
      <c r="BU89" s="57" t="s">
        <v>1741</v>
      </c>
      <c r="BV89" s="186" t="s">
        <v>1808</v>
      </c>
      <c r="BW89" s="158" t="s">
        <v>1688</v>
      </c>
      <c r="BX89" s="57">
        <v>25</v>
      </c>
      <c r="BY89" s="58">
        <v>168.96</v>
      </c>
      <c r="BZ89" s="58">
        <f>IFERROR(Table6[[#This Row],[Redbook WAC price per tablet/capsule (Jan 2022)]]/Table6[[#This Row],[Redbook package strength (mg) (Jan 2022)]], "")</f>
        <v>6.7584</v>
      </c>
      <c r="CA89" s="74" t="s">
        <v>1741</v>
      </c>
      <c r="CB89" s="57" t="s">
        <v>1808</v>
      </c>
      <c r="CC89" s="158" t="s">
        <v>1688</v>
      </c>
      <c r="CD89" s="57">
        <v>25</v>
      </c>
      <c r="CE89" s="58">
        <v>178.25045</v>
      </c>
      <c r="CF89" s="247">
        <f>IFERROR(Table6[[#This Row],[Redbook WAC price per tablet/capsule (Jul 2022)]]/Table6[[#This Row],[Redbook package strength (mg) (Jul 2022)]], "")</f>
        <v>7.1300179999999997</v>
      </c>
      <c r="CG89" s="74" t="s">
        <v>1741</v>
      </c>
      <c r="CH89" s="57" t="s">
        <v>1808</v>
      </c>
      <c r="CI89" s="57" t="s">
        <v>1688</v>
      </c>
      <c r="CJ89" s="57">
        <v>25</v>
      </c>
      <c r="CK89" s="58">
        <v>178.25045</v>
      </c>
      <c r="CL89" s="58">
        <f>IFERROR(Table6[[#This Row],[Redbook WAC price per tablet/capsule (Jan 2023)]]/Table6[[#This Row],[Redbook package strength (mg) (Jan 2023)]], "")</f>
        <v>7.1300179999999997</v>
      </c>
      <c r="CM89" s="57" t="s">
        <v>1741</v>
      </c>
    </row>
    <row r="90" spans="1:92" x14ac:dyDescent="0.3">
      <c r="A90" s="189" t="s">
        <v>1702</v>
      </c>
      <c r="B90" s="57" t="s">
        <v>2147</v>
      </c>
      <c r="C90" s="57" t="s">
        <v>1899</v>
      </c>
      <c r="D90" s="57">
        <v>10</v>
      </c>
      <c r="E90" s="57">
        <v>6.9760000000000003E-2</v>
      </c>
      <c r="F90" s="57">
        <f>IFERROR(Table6[[#This Row],[Redbook WAC price per tablet/capsule (Jan 2016)]]/Table6[[#This Row],[Redbook package strength (mg) (Jan 2016)]], "")</f>
        <v>6.9760000000000004E-3</v>
      </c>
      <c r="G90" s="74" t="s">
        <v>1741</v>
      </c>
      <c r="H90" s="57" t="s">
        <v>2147</v>
      </c>
      <c r="I90" s="57" t="s">
        <v>1899</v>
      </c>
      <c r="J90" s="57">
        <v>10</v>
      </c>
      <c r="K90" s="57">
        <v>6.9760000000000003E-2</v>
      </c>
      <c r="L90" s="57">
        <f>IFERROR(Table6[[#This Row],[Redbook WAC price per tablet/capsule (Jul 2016)]]/Table6[[#This Row],[Redbook package strength (mg) (Jul 2016)]], "")</f>
        <v>6.9760000000000004E-3</v>
      </c>
      <c r="M90" s="74" t="s">
        <v>1741</v>
      </c>
      <c r="N90" s="57" t="s">
        <v>2147</v>
      </c>
      <c r="O90" s="57" t="s">
        <v>1899</v>
      </c>
      <c r="P90" s="57">
        <v>10</v>
      </c>
      <c r="Q90" s="57">
        <v>6.9760000000000003E-2</v>
      </c>
      <c r="R90" s="57">
        <f>IFERROR(Table6[[#This Row],[Redbook WAC price per tablet/capsule (Jan 2017)]]/Table6[[#This Row],[Redbook package strength (mg) (Jan 2017)]], "")</f>
        <v>6.9760000000000004E-3</v>
      </c>
      <c r="S90" s="74" t="s">
        <v>1741</v>
      </c>
      <c r="T90" s="57" t="s">
        <v>1906</v>
      </c>
      <c r="U90" s="57" t="s">
        <v>1899</v>
      </c>
      <c r="V90" s="57">
        <v>5</v>
      </c>
      <c r="W90" s="284">
        <v>7.1999999999999995E-2</v>
      </c>
      <c r="X90" s="284">
        <f>IFERROR(Table6[[#This Row],[Redbook WAC price per tablet/capsule (Jul 2017)]]/Table6[[#This Row],[Redbook package strength (mg) (Jul 2017)]], "")</f>
        <v>1.44E-2</v>
      </c>
      <c r="Y90" s="57" t="s">
        <v>1741</v>
      </c>
      <c r="Z90" s="388" t="s">
        <v>1906</v>
      </c>
      <c r="AA90" s="389" t="s">
        <v>1899</v>
      </c>
      <c r="AB90" s="158">
        <v>5</v>
      </c>
      <c r="AC90" s="390">
        <v>7.1999999999999995E-2</v>
      </c>
      <c r="AD90" s="390">
        <f>Table6[[#This Row],[Redbook WAC price per tablet/capsule (Jan 2018)]]/Table6[[#This Row],[Redbook package strength (mg) (Jan 2018)]]</f>
        <v>1.44E-2</v>
      </c>
      <c r="AE90" s="391" t="s">
        <v>1741</v>
      </c>
      <c r="AF90" s="388" t="s">
        <v>1906</v>
      </c>
      <c r="AG90" s="389" t="s">
        <v>1899</v>
      </c>
      <c r="AH90" s="397">
        <v>5</v>
      </c>
      <c r="AI90" s="399">
        <v>7.1999999999999995E-2</v>
      </c>
      <c r="AJ90" s="399">
        <f>Table6[[#This Row],[Redbook WAC price per tablet/capsule (Jul 2018)]]/Table6[[#This Row],[Redbook package strength (mg) (Jul 2018)]]</f>
        <v>1.44E-2</v>
      </c>
      <c r="AK90" s="391" t="s">
        <v>1741</v>
      </c>
      <c r="AL90" s="57" t="s">
        <v>1906</v>
      </c>
      <c r="AM90" t="s">
        <v>1899</v>
      </c>
      <c r="AN90">
        <v>5</v>
      </c>
      <c r="AO90" s="59">
        <v>7.1999999999999995E-2</v>
      </c>
      <c r="AP90" s="58">
        <f>IFERROR(Table6[[#This Row],[Redbook WAC price per tablet/capsule (Jan 2019)]]/Table6[[#This Row],[Redbook package strength (mg) (Jan 2019)]], "")</f>
        <v>1.44E-2</v>
      </c>
      <c r="AQ90" s="74" t="s">
        <v>1741</v>
      </c>
      <c r="AR90" t="s">
        <v>1906</v>
      </c>
      <c r="AS90" t="s">
        <v>1899</v>
      </c>
      <c r="AT90">
        <v>5</v>
      </c>
      <c r="AU90" s="59">
        <v>7.1999999999999995E-2</v>
      </c>
      <c r="AV90" s="58">
        <f>IFERROR(Table6[[#This Row],[Redbook WAC price per tablet/capsule (Jul 2019)]]/Table6[[#This Row],[Redbook package strength (mg) (Jul 2019)]], "")</f>
        <v>1.44E-2</v>
      </c>
      <c r="AW90" s="74" t="s">
        <v>1741</v>
      </c>
      <c r="AX90" t="s">
        <v>1906</v>
      </c>
      <c r="AY90" t="s">
        <v>1899</v>
      </c>
      <c r="AZ90">
        <v>5</v>
      </c>
      <c r="BA90" s="59">
        <v>7.1999999999999995E-2</v>
      </c>
      <c r="BB90" s="59">
        <f>IFERROR(Table6[[#This Row],[Redbook WAC price per tablet/capsule (Jan 2020)]]/Table6[[#This Row],[Redbook package strength (mg) (Jan 2020)]], "")</f>
        <v>1.44E-2</v>
      </c>
      <c r="BC90" s="74" t="s">
        <v>1741</v>
      </c>
      <c r="BD90" t="s">
        <v>1906</v>
      </c>
      <c r="BE90" t="s">
        <v>1899</v>
      </c>
      <c r="BF90">
        <v>5</v>
      </c>
      <c r="BG90" s="59">
        <v>7.1999999999999995E-2</v>
      </c>
      <c r="BH90" s="58">
        <f>IFERROR(Table6[[#This Row],[Redbook WAC price per tablet/capsule (Jul 2020)]]/Table6[[#This Row],[Redbook package strength (mg) (Jul 2020)]], "")</f>
        <v>1.44E-2</v>
      </c>
      <c r="BI90" s="74" t="s">
        <v>1741</v>
      </c>
      <c r="BJ90" s="57" t="s">
        <v>1906</v>
      </c>
      <c r="BK90" s="57" t="s">
        <v>1899</v>
      </c>
      <c r="BL90" s="57">
        <v>5</v>
      </c>
      <c r="BM90" s="58">
        <v>7.1999999999999995E-2</v>
      </c>
      <c r="BN90" s="58">
        <f>IFERROR(Table6[[#This Row],[Redbook WAC price per tablet/capsule (Jan 2021)]]/Table6[[#This Row],[Redbook package strength (mg) (Jan 2021)]], "")</f>
        <v>1.44E-2</v>
      </c>
      <c r="BO90" s="57" t="s">
        <v>1741</v>
      </c>
      <c r="BP90" s="73" t="s">
        <v>1906</v>
      </c>
      <c r="BQ90" s="57" t="s">
        <v>1899</v>
      </c>
      <c r="BR90" s="57">
        <v>5</v>
      </c>
      <c r="BS90" s="58">
        <v>7.1999999999999995E-2</v>
      </c>
      <c r="BT90" s="58">
        <f>IFERROR(Table6[[#This Row],[Redbook WAC price per tablet/capsule (Jul 2021)]]/Table6[[#This Row],[Redbook package strength (mg) (Jul 2021)]], "")</f>
        <v>1.44E-2</v>
      </c>
      <c r="BU90" s="57" t="s">
        <v>1741</v>
      </c>
      <c r="BV90" s="186" t="s">
        <v>2075</v>
      </c>
      <c r="BW90" s="158" t="s">
        <v>1899</v>
      </c>
      <c r="BX90" s="57">
        <v>10</v>
      </c>
      <c r="BY90" s="58">
        <v>7.2999999999999995E-2</v>
      </c>
      <c r="BZ90" s="58">
        <f>IFERROR(Table6[[#This Row],[Redbook WAC price per tablet/capsule (Jan 2022)]]/Table6[[#This Row],[Redbook package strength (mg) (Jan 2022)]], "")</f>
        <v>7.2999999999999992E-3</v>
      </c>
      <c r="CA90" s="74" t="s">
        <v>1741</v>
      </c>
      <c r="CB90" s="57" t="s">
        <v>2147</v>
      </c>
      <c r="CC90" s="158" t="s">
        <v>1899</v>
      </c>
      <c r="CD90" s="57">
        <v>10</v>
      </c>
      <c r="CE90" s="58">
        <v>6.9760000000000003E-2</v>
      </c>
      <c r="CF90" s="58">
        <f>IFERROR(Table6[[#This Row],[Redbook WAC price per tablet/capsule (Jul 2022)]]/Table6[[#This Row],[Redbook package strength (mg) (Jul 2022)]], "")</f>
        <v>6.9760000000000004E-3</v>
      </c>
      <c r="CG90" s="74" t="s">
        <v>1741</v>
      </c>
      <c r="CH90" s="57" t="s">
        <v>2147</v>
      </c>
      <c r="CI90" s="57" t="s">
        <v>1899</v>
      </c>
      <c r="CJ90" s="57">
        <v>10</v>
      </c>
      <c r="CK90" s="58">
        <v>6.9760000000000003E-2</v>
      </c>
      <c r="CL90" s="58">
        <f>IFERROR(Table6[[#This Row],[Redbook WAC price per tablet/capsule (Jan 2023)]]/Table6[[#This Row],[Redbook package strength (mg) (Jan 2023)]], "")</f>
        <v>6.9760000000000004E-3</v>
      </c>
      <c r="CM90" s="57" t="s">
        <v>1741</v>
      </c>
    </row>
    <row r="91" spans="1:92" x14ac:dyDescent="0.3">
      <c r="A91" t="s">
        <v>1907</v>
      </c>
      <c r="B91" s="57"/>
      <c r="C91" s="57"/>
      <c r="D91" s="57"/>
      <c r="E91" s="57"/>
      <c r="F91" s="57" t="str">
        <f>IFERROR(Table6[[#This Row],[Redbook WAC price per tablet/capsule (Jan 2016)]]/Table6[[#This Row],[Redbook package strength (mg) (Jan 2016)]], "")</f>
        <v/>
      </c>
      <c r="G91" s="74"/>
      <c r="H91" s="57"/>
      <c r="I91" s="57"/>
      <c r="J91" s="57"/>
      <c r="K91" s="57"/>
      <c r="L91" s="57" t="str">
        <f>IFERROR(Table6[[#This Row],[Redbook WAC price per tablet/capsule (Jul 2016)]]/Table6[[#This Row],[Redbook package strength (mg) (Jul 2016)]], "")</f>
        <v/>
      </c>
      <c r="M91" s="74"/>
      <c r="N91" s="57"/>
      <c r="O91" s="57"/>
      <c r="P91" s="57"/>
      <c r="Q91" s="57"/>
      <c r="R91" s="57" t="str">
        <f>IFERROR(Table6[[#This Row],[Redbook WAC price per tablet/capsule (Jan 2017)]]/Table6[[#This Row],[Redbook package strength (mg) (Jan 2017)]], "")</f>
        <v/>
      </c>
      <c r="S91" s="74"/>
      <c r="T91" s="57"/>
      <c r="U91" s="57"/>
      <c r="V91" s="57"/>
      <c r="W91" s="284"/>
      <c r="X91" s="284" t="str">
        <f>IFERROR(Table6[[#This Row],[Redbook WAC price per tablet/capsule (Jul 2017)]]/Table6[[#This Row],[Redbook package strength (mg) (Jul 2017)]], "")</f>
        <v/>
      </c>
      <c r="Y91" s="57"/>
      <c r="Z91" s="388"/>
      <c r="AA91" s="389"/>
      <c r="AB91" s="158"/>
      <c r="AC91" s="390"/>
      <c r="AD91" s="390"/>
      <c r="AE91" s="391"/>
      <c r="AF91" s="388"/>
      <c r="AG91" s="389"/>
      <c r="AH91" s="397"/>
      <c r="AI91" s="399"/>
      <c r="AJ91" s="399"/>
      <c r="AK91" s="391"/>
      <c r="AL91" s="57"/>
      <c r="AO91" s="59"/>
      <c r="AP91" s="59" t="str">
        <f>IFERROR(Table6[[#This Row],[Redbook WAC price per tablet/capsule (Jan 2019)]]/Table6[[#This Row],[Redbook package strength (mg) (Jan 2019)]], "")</f>
        <v/>
      </c>
      <c r="AQ91" s="57"/>
      <c r="AR91" s="73"/>
      <c r="AU91" s="59"/>
      <c r="AV91" s="59" t="str">
        <f>IFERROR(Table6[[#This Row],[Redbook WAC price per tablet/capsule (Jul 2019)]]/Table6[[#This Row],[Redbook package strength (mg) (Jul 2019)]], "")</f>
        <v/>
      </c>
      <c r="AW91" s="74"/>
      <c r="BA91" s="59"/>
      <c r="BB91" s="59" t="str">
        <f>IFERROR(Table6[[#This Row],[Redbook WAC price per tablet/capsule (Jan 2020)]]/Table6[[#This Row],[Redbook package strength (mg) (Jan 2020)]], "")</f>
        <v/>
      </c>
      <c r="BD91" s="73" t="s">
        <v>1909</v>
      </c>
      <c r="BE91" t="s">
        <v>1908</v>
      </c>
      <c r="BF91">
        <v>200</v>
      </c>
      <c r="BG91" s="59">
        <v>160.26785799999999</v>
      </c>
      <c r="BH91" s="59">
        <f>IFERROR(Table6[[#This Row],[Redbook WAC price per tablet/capsule (Jul 2020)]]/Table6[[#This Row],[Redbook package strength (mg) (Jul 2020)]], "")</f>
        <v>0.80133928999999993</v>
      </c>
      <c r="BI91" s="57" t="s">
        <v>1741</v>
      </c>
      <c r="BJ91" s="73" t="s">
        <v>1909</v>
      </c>
      <c r="BK91" s="57" t="s">
        <v>1908</v>
      </c>
      <c r="BL91" s="57">
        <v>200</v>
      </c>
      <c r="BM91" s="58">
        <v>169.08268000000001</v>
      </c>
      <c r="BN91" s="58">
        <f>IFERROR(Table6[[#This Row],[Redbook WAC price per tablet/capsule (Jan 2021)]]/Table6[[#This Row],[Redbook package strength (mg) (Jan 2021)]], "")</f>
        <v>0.84541340000000009</v>
      </c>
      <c r="BO91" s="57" t="s">
        <v>1741</v>
      </c>
      <c r="BP91" s="73" t="s">
        <v>1909</v>
      </c>
      <c r="BQ91" s="57" t="s">
        <v>1908</v>
      </c>
      <c r="BR91" s="57">
        <v>200</v>
      </c>
      <c r="BS91" s="58">
        <v>169.08268000000001</v>
      </c>
      <c r="BT91" s="58">
        <f>IFERROR(Table6[[#This Row],[Redbook WAC price per tablet/capsule (Jul 2021)]]/Table6[[#This Row],[Redbook package strength (mg) (Jul 2021)]], "")</f>
        <v>0.84541340000000009</v>
      </c>
      <c r="BU91" s="57" t="s">
        <v>1741</v>
      </c>
      <c r="BV91" s="186" t="s">
        <v>1909</v>
      </c>
      <c r="BW91" s="158" t="s">
        <v>1908</v>
      </c>
      <c r="BX91" s="57">
        <v>200</v>
      </c>
      <c r="BY91" s="58">
        <v>169.08</v>
      </c>
      <c r="BZ91" s="58">
        <f>IFERROR(Table6[[#This Row],[Redbook WAC price per tablet/capsule (Jan 2022)]]/Table6[[#This Row],[Redbook package strength (mg) (Jan 2022)]], "")</f>
        <v>0.84540000000000004</v>
      </c>
      <c r="CA91" s="74" t="s">
        <v>1741</v>
      </c>
      <c r="CB91" s="57" t="s">
        <v>1909</v>
      </c>
      <c r="CC91" s="158" t="s">
        <v>1908</v>
      </c>
      <c r="CD91" s="57">
        <v>200</v>
      </c>
      <c r="CE91" s="58">
        <v>178.38213999999999</v>
      </c>
      <c r="CF91" s="247">
        <f>IFERROR(Table6[[#This Row],[Redbook WAC price per tablet/capsule (Jul 2022)]]/Table6[[#This Row],[Redbook package strength (mg) (Jul 2022)]], "")</f>
        <v>0.89191069999999995</v>
      </c>
      <c r="CG91" s="74" t="s">
        <v>1741</v>
      </c>
      <c r="CH91" s="57" t="s">
        <v>1909</v>
      </c>
      <c r="CI91" s="57" t="s">
        <v>1908</v>
      </c>
      <c r="CJ91" s="57">
        <v>200</v>
      </c>
      <c r="CK91" s="58">
        <v>178.38214199999999</v>
      </c>
      <c r="CL91" s="58">
        <f>IFERROR(Table6[[#This Row],[Redbook WAC price per tablet/capsule (Jan 2023)]]/Table6[[#This Row],[Redbook package strength (mg) (Jan 2023)]], "")</f>
        <v>0.89191070999999988</v>
      </c>
      <c r="CM91" s="57" t="s">
        <v>1741</v>
      </c>
    </row>
    <row r="92" spans="1:92" x14ac:dyDescent="0.3">
      <c r="A92" t="s">
        <v>1920</v>
      </c>
      <c r="B92" s="57" t="s">
        <v>1921</v>
      </c>
      <c r="C92" s="57" t="s">
        <v>1922</v>
      </c>
      <c r="D92" s="57">
        <v>3.5</v>
      </c>
      <c r="E92" s="57">
        <v>869</v>
      </c>
      <c r="F92" s="57">
        <f>IFERROR(Table6[[#This Row],[Redbook WAC price per tablet/capsule (Jan 2016)]]/Table6[[#This Row],[Redbook package strength (mg) (Jan 2016)]], "")</f>
        <v>248.28571428571428</v>
      </c>
      <c r="G92" s="74" t="s">
        <v>1741</v>
      </c>
      <c r="H92" s="342" t="s">
        <v>1921</v>
      </c>
      <c r="I92" s="57" t="s">
        <v>1922</v>
      </c>
      <c r="J92" s="57">
        <v>3.5</v>
      </c>
      <c r="K92" s="57">
        <v>912</v>
      </c>
      <c r="L92" s="57">
        <f>IFERROR(Table6[[#This Row],[Redbook WAC price per tablet/capsule (Jul 2016)]]/Table6[[#This Row],[Redbook package strength (mg) (Jul 2016)]], "")</f>
        <v>260.57142857142856</v>
      </c>
      <c r="M92" s="74" t="s">
        <v>1741</v>
      </c>
      <c r="N92" s="342" t="s">
        <v>1921</v>
      </c>
      <c r="O92" s="57" t="s">
        <v>1922</v>
      </c>
      <c r="P92" s="57">
        <v>3.5</v>
      </c>
      <c r="Q92" s="57">
        <v>957</v>
      </c>
      <c r="R92" s="57">
        <f>IFERROR(Table6[[#This Row],[Redbook WAC price per tablet/capsule (Jan 2017)]]/Table6[[#This Row],[Redbook package strength (mg) (Jan 2017)]], "")</f>
        <v>273.42857142857144</v>
      </c>
      <c r="S92" s="74" t="s">
        <v>1741</v>
      </c>
      <c r="T92" s="342" t="s">
        <v>1921</v>
      </c>
      <c r="U92" s="57" t="s">
        <v>1922</v>
      </c>
      <c r="V92" s="57">
        <v>3.5</v>
      </c>
      <c r="W92" s="284">
        <f>(1148.4/1.2)</f>
        <v>957.00000000000011</v>
      </c>
      <c r="X92" s="284">
        <f>IFERROR(Table6[[#This Row],[Redbook WAC price per tablet/capsule (Jul 2017)]]/Table6[[#This Row],[Redbook package strength (mg) (Jul 2017)]], "")</f>
        <v>273.42857142857144</v>
      </c>
      <c r="Y92" s="57" t="s">
        <v>1741</v>
      </c>
      <c r="Z92" s="388" t="s">
        <v>1921</v>
      </c>
      <c r="AA92" s="389" t="s">
        <v>1922</v>
      </c>
      <c r="AB92" s="158">
        <v>3.5</v>
      </c>
      <c r="AC92" s="390">
        <v>957.00000000000011</v>
      </c>
      <c r="AD92" s="390">
        <f>Table6[[#This Row],[Redbook WAC price per tablet/capsule (Jan 2018)]]/Table6[[#This Row],[Redbook package strength (mg) (Jan 2018)]]</f>
        <v>273.42857142857144</v>
      </c>
      <c r="AE92" s="391" t="s">
        <v>1741</v>
      </c>
      <c r="AF92" s="388" t="s">
        <v>1921</v>
      </c>
      <c r="AG92" s="389" t="s">
        <v>1922</v>
      </c>
      <c r="AH92" s="397">
        <v>3.5</v>
      </c>
      <c r="AI92" s="399">
        <v>1000.0999999999999</v>
      </c>
      <c r="AJ92" s="399">
        <f>Table6[[#This Row],[Redbook WAC price per tablet/capsule (Jul 2018)]]/Table6[[#This Row],[Redbook package strength (mg) (Jul 2018)]]</f>
        <v>285.74285714285713</v>
      </c>
      <c r="AK92" s="391" t="s">
        <v>1741</v>
      </c>
      <c r="AL92" s="57" t="s">
        <v>1921</v>
      </c>
      <c r="AM92" t="s">
        <v>1922</v>
      </c>
      <c r="AN92">
        <v>3.5</v>
      </c>
      <c r="AO92" s="59">
        <v>1045.0999999999999</v>
      </c>
      <c r="AP92" s="59">
        <f>IFERROR(Table6[[#This Row],[Redbook WAC price per tablet/capsule (Jan 2019)]]/Table6[[#This Row],[Redbook package strength (mg) (Jan 2019)]], "")</f>
        <v>298.59999999999997</v>
      </c>
      <c r="AQ92" s="57" t="s">
        <v>1741</v>
      </c>
      <c r="AR92" s="73" t="s">
        <v>1921</v>
      </c>
      <c r="AS92" t="s">
        <v>1922</v>
      </c>
      <c r="AT92">
        <v>3.5</v>
      </c>
      <c r="AU92" s="59">
        <v>1045.0999999999999</v>
      </c>
      <c r="AV92" s="59">
        <f>IFERROR(Table6[[#This Row],[Redbook WAC price per tablet/capsule (Jul 2019)]]/Table6[[#This Row],[Redbook package strength (mg) (Jul 2019)]], "")</f>
        <v>298.59999999999997</v>
      </c>
      <c r="AW92" s="57" t="s">
        <v>1741</v>
      </c>
      <c r="AX92" s="73" t="s">
        <v>1921</v>
      </c>
      <c r="AY92" t="s">
        <v>1922</v>
      </c>
      <c r="AZ92">
        <v>3.5</v>
      </c>
      <c r="BA92" s="59">
        <v>1112</v>
      </c>
      <c r="BB92" s="59">
        <f>IFERROR(Table6[[#This Row],[Redbook WAC price per tablet/capsule (Jan 2020)]]/Table6[[#This Row],[Redbook package strength (mg) (Jan 2020)]], "")</f>
        <v>317.71428571428572</v>
      </c>
      <c r="BC92" s="57" t="s">
        <v>1741</v>
      </c>
      <c r="BD92" s="73" t="s">
        <v>1921</v>
      </c>
      <c r="BE92" t="s">
        <v>1922</v>
      </c>
      <c r="BF92">
        <v>3.5</v>
      </c>
      <c r="BG92" s="59">
        <v>1112</v>
      </c>
      <c r="BH92" s="59">
        <f>IFERROR(Table6[[#This Row],[Redbook WAC price per tablet/capsule (Jul 2020)]]/Table6[[#This Row],[Redbook package strength (mg) (Jul 2020)]], "")</f>
        <v>317.71428571428572</v>
      </c>
      <c r="BI92" s="57" t="s">
        <v>1741</v>
      </c>
      <c r="BJ92" s="73" t="s">
        <v>1921</v>
      </c>
      <c r="BK92" t="s">
        <v>1922</v>
      </c>
      <c r="BL92">
        <v>3.5</v>
      </c>
      <c r="BM92" s="58">
        <v>1112</v>
      </c>
      <c r="BN92" s="58">
        <f>IFERROR(Table6[[#This Row],[Redbook WAC price per tablet/capsule (Jan 2021)]]/Table6[[#This Row],[Redbook package strength (mg) (Jan 2021)]], "")</f>
        <v>317.71428571428572</v>
      </c>
      <c r="BO92" s="57" t="s">
        <v>1741</v>
      </c>
      <c r="BP92" s="73" t="s">
        <v>1921</v>
      </c>
      <c r="BQ92" t="s">
        <v>1922</v>
      </c>
      <c r="BR92">
        <v>3.5</v>
      </c>
      <c r="BS92" s="58">
        <v>1112</v>
      </c>
      <c r="BT92" s="58">
        <f>IFERROR(Table6[[#This Row],[Redbook WAC price per tablet/capsule (Jul 2021)]]/Table6[[#This Row],[Redbook package strength (mg) (Jul 2021)]], "")</f>
        <v>317.71428571428572</v>
      </c>
      <c r="BU92" s="57" t="s">
        <v>1741</v>
      </c>
      <c r="BV92" s="186" t="s">
        <v>1921</v>
      </c>
      <c r="BW92" s="158" t="s">
        <v>1922</v>
      </c>
      <c r="BX92" s="57">
        <v>3.5</v>
      </c>
      <c r="BY92" s="58">
        <v>1216.5</v>
      </c>
      <c r="BZ92" s="58">
        <f>IFERROR(Table6[[#This Row],[Redbook WAC price per tablet/capsule (Jan 2022)]]/Table6[[#This Row],[Redbook package strength (mg) (Jan 2022)]], "")</f>
        <v>347.57142857142856</v>
      </c>
      <c r="CA92" s="74" t="s">
        <v>1741</v>
      </c>
      <c r="CB92" s="57" t="s">
        <v>1921</v>
      </c>
      <c r="CC92" s="158" t="s">
        <v>1922</v>
      </c>
      <c r="CD92" s="57">
        <v>3.5</v>
      </c>
      <c r="CE92" s="58">
        <v>1216.5</v>
      </c>
      <c r="CF92" s="58">
        <f>IFERROR(Table6[[#This Row],[Redbook WAC price per tablet/capsule (Jul 2022)]]/Table6[[#This Row],[Redbook package strength (mg) (Jul 2022)]], "")</f>
        <v>347.57142857142856</v>
      </c>
      <c r="CG92" s="74" t="s">
        <v>1741</v>
      </c>
      <c r="CH92" s="57" t="s">
        <v>1921</v>
      </c>
      <c r="CI92" s="57" t="s">
        <v>1922</v>
      </c>
      <c r="CJ92" s="57">
        <v>3.5</v>
      </c>
      <c r="CK92" s="58">
        <v>1330.9</v>
      </c>
      <c r="CL92" s="58">
        <f>IFERROR(Table6[[#This Row],[Redbook WAC price per tablet/capsule (Jan 2023)]]/Table6[[#This Row],[Redbook package strength (mg) (Jan 2023)]], "")</f>
        <v>380.25714285714287</v>
      </c>
      <c r="CM92" s="57" t="s">
        <v>1741</v>
      </c>
    </row>
    <row r="93" spans="1:92" x14ac:dyDescent="0.3">
      <c r="A93" s="143" t="s">
        <v>1923</v>
      </c>
      <c r="B93" s="342" t="s">
        <v>1924</v>
      </c>
      <c r="C93" s="57" t="s">
        <v>1925</v>
      </c>
      <c r="D93">
        <v>45</v>
      </c>
      <c r="E93" s="57">
        <v>398.33333333299998</v>
      </c>
      <c r="F93" s="57">
        <f>IFERROR(Table6[[#This Row],[Redbook WAC price per tablet/capsule (Jan 2016)]]/Table6[[#This Row],[Redbook package strength (mg) (Jan 2016)]], "")</f>
        <v>8.8518518518444438</v>
      </c>
      <c r="G93" s="74" t="s">
        <v>1741</v>
      </c>
      <c r="H93" s="342" t="s">
        <v>1924</v>
      </c>
      <c r="I93" s="57" t="s">
        <v>1925</v>
      </c>
      <c r="J93" s="57">
        <v>45</v>
      </c>
      <c r="K93" s="57">
        <v>511.133333333</v>
      </c>
      <c r="L93" s="57">
        <f>IFERROR(Table6[[#This Row],[Redbook WAC price per tablet/capsule (Jul 2016)]]/Table6[[#This Row],[Redbook package strength (mg) (Jul 2016)]], "")</f>
        <v>11.358518518511111</v>
      </c>
      <c r="M93" s="74" t="s">
        <v>1741</v>
      </c>
      <c r="N93" s="342" t="s">
        <v>1924</v>
      </c>
      <c r="O93" s="57" t="s">
        <v>1925</v>
      </c>
      <c r="P93" s="57">
        <v>45</v>
      </c>
      <c r="Q93" s="57">
        <v>552.03333333299997</v>
      </c>
      <c r="R93" s="57">
        <f>IFERROR(Table6[[#This Row],[Redbook WAC price per tablet/capsule (Jan 2017)]]/Table6[[#This Row],[Redbook package strength (mg) (Jan 2017)]], "")</f>
        <v>12.267407407399999</v>
      </c>
      <c r="S93" s="74" t="s">
        <v>1741</v>
      </c>
      <c r="T93" s="342" t="s">
        <v>1924</v>
      </c>
      <c r="U93" s="57" t="s">
        <v>1925</v>
      </c>
      <c r="V93" s="57">
        <v>45</v>
      </c>
      <c r="W93" s="284">
        <v>552.03332999999998</v>
      </c>
      <c r="X93" s="284">
        <f>IFERROR(Table6[[#This Row],[Redbook WAC price per tablet/capsule (Jul 2017)]]/Table6[[#This Row],[Redbook package strength (mg) (Jul 2017)]], "")</f>
        <v>12.267407333333333</v>
      </c>
      <c r="Y93" s="57" t="s">
        <v>1741</v>
      </c>
      <c r="Z93" s="388" t="s">
        <v>1551</v>
      </c>
      <c r="AA93" s="389" t="s">
        <v>1925</v>
      </c>
      <c r="AB93" s="158">
        <v>45</v>
      </c>
      <c r="AC93" s="390">
        <v>552.03332999999998</v>
      </c>
      <c r="AD93" s="390">
        <f>Table6[[#This Row],[Redbook WAC price per tablet/capsule (Jan 2018)]]/Table6[[#This Row],[Redbook package strength (mg) (Jan 2018)]]</f>
        <v>12.267407333333333</v>
      </c>
      <c r="AE93" s="391" t="s">
        <v>1741</v>
      </c>
      <c r="AF93" s="388" t="s">
        <v>1551</v>
      </c>
      <c r="AG93" s="389" t="s">
        <v>1925</v>
      </c>
      <c r="AH93" s="397">
        <v>45</v>
      </c>
      <c r="AI93" s="399">
        <v>552.03332999999998</v>
      </c>
      <c r="AJ93" s="399">
        <f>Table6[[#This Row],[Redbook WAC price per tablet/capsule (Jul 2018)]]/Table6[[#This Row],[Redbook package strength (mg) (Jul 2018)]]</f>
        <v>12.267407333333333</v>
      </c>
      <c r="AK93" s="391" t="s">
        <v>1741</v>
      </c>
      <c r="AL93" s="57" t="s">
        <v>1924</v>
      </c>
      <c r="AM93" t="s">
        <v>1925</v>
      </c>
      <c r="AN93">
        <v>45</v>
      </c>
      <c r="AO93" s="59">
        <v>552.03332999999998</v>
      </c>
      <c r="AP93" s="59">
        <f>IFERROR(Table6[[#This Row],[Redbook WAC price per tablet/capsule (Jan 2019)]]/Table6[[#This Row],[Redbook package strength (mg) (Jan 2019)]], "")</f>
        <v>12.267407333333333</v>
      </c>
      <c r="AQ93" s="57" t="s">
        <v>1741</v>
      </c>
      <c r="AR93" s="73" t="s">
        <v>1926</v>
      </c>
      <c r="AS93" t="s">
        <v>1925</v>
      </c>
      <c r="AT93">
        <v>45</v>
      </c>
      <c r="AU93" s="59">
        <v>552.03330000000005</v>
      </c>
      <c r="AV93" s="59">
        <f>IFERROR(Table6[[#This Row],[Redbook WAC price per tablet/capsule (Jul 2019)]]/Table6[[#This Row],[Redbook package strength (mg) (Jul 2019)]], "")</f>
        <v>12.267406666666668</v>
      </c>
      <c r="AW93" s="57" t="s">
        <v>1741</v>
      </c>
      <c r="AX93" s="73" t="s">
        <v>1926</v>
      </c>
      <c r="AY93" t="s">
        <v>1925</v>
      </c>
      <c r="AZ93">
        <v>45</v>
      </c>
      <c r="BA93" s="59">
        <v>552.03330000000005</v>
      </c>
      <c r="BB93" s="59">
        <f>IFERROR(Table6[[#This Row],[Redbook WAC price per tablet/capsule (Jan 2020)]]/Table6[[#This Row],[Redbook package strength (mg) (Jan 2020)]], "")</f>
        <v>12.267406666666668</v>
      </c>
      <c r="BC93" s="57" t="s">
        <v>1741</v>
      </c>
      <c r="BD93" s="73" t="s">
        <v>1926</v>
      </c>
      <c r="BE93" t="s">
        <v>1925</v>
      </c>
      <c r="BF93">
        <v>45</v>
      </c>
      <c r="BG93" s="59">
        <v>552.03330000000005</v>
      </c>
      <c r="BH93" s="59">
        <f>IFERROR(Table6[[#This Row],[Redbook WAC price per tablet/capsule (Jul 2020)]]/Table6[[#This Row],[Redbook package strength (mg) (Jul 2020)]], "")</f>
        <v>12.267406666666668</v>
      </c>
      <c r="BI93" s="57" t="s">
        <v>1741</v>
      </c>
      <c r="BJ93" s="73" t="s">
        <v>1926</v>
      </c>
      <c r="BK93" s="57" t="s">
        <v>1925</v>
      </c>
      <c r="BL93" s="57">
        <v>45</v>
      </c>
      <c r="BM93" s="58">
        <v>552.03330000000005</v>
      </c>
      <c r="BN93" s="58">
        <f>IFERROR(Table6[[#This Row],[Redbook WAC price per tablet/capsule (Jan 2021)]]/Table6[[#This Row],[Redbook package strength (mg) (Jan 2021)]], "")</f>
        <v>12.267406666666668</v>
      </c>
      <c r="BO93" s="57" t="s">
        <v>1741</v>
      </c>
      <c r="BP93" s="73" t="s">
        <v>1926</v>
      </c>
      <c r="BQ93" s="57" t="s">
        <v>1925</v>
      </c>
      <c r="BR93" s="57">
        <v>45</v>
      </c>
      <c r="BS93" s="58">
        <v>597.1</v>
      </c>
      <c r="BT93" s="58">
        <f>IFERROR(Table6[[#This Row],[Redbook WAC price per tablet/capsule (Jul 2021)]]/Table6[[#This Row],[Redbook package strength (mg) (Jul 2021)]], "")</f>
        <v>13.26888888888889</v>
      </c>
      <c r="BU93" s="57" t="s">
        <v>1741</v>
      </c>
      <c r="BV93" s="186" t="s">
        <v>1926</v>
      </c>
      <c r="BW93" s="158" t="s">
        <v>1925</v>
      </c>
      <c r="BX93" s="57">
        <v>45</v>
      </c>
      <c r="BY93" s="58">
        <v>597.1</v>
      </c>
      <c r="BZ93" s="58">
        <f>IFERROR(Table6[[#This Row],[Redbook WAC price per tablet/capsule (Jan 2022)]]/Table6[[#This Row],[Redbook package strength (mg) (Jan 2022)]], "")</f>
        <v>13.26888888888889</v>
      </c>
      <c r="CA93" s="74" t="s">
        <v>1741</v>
      </c>
      <c r="CB93" s="57" t="s">
        <v>1926</v>
      </c>
      <c r="CC93" s="158" t="s">
        <v>1925</v>
      </c>
      <c r="CD93" s="57">
        <v>45</v>
      </c>
      <c r="CE93" s="58">
        <v>626.96667000000002</v>
      </c>
      <c r="CF93" s="247">
        <f>IFERROR(Table6[[#This Row],[Redbook WAC price per tablet/capsule (Jul 2022)]]/Table6[[#This Row],[Redbook package strength (mg) (Jul 2022)]], "")</f>
        <v>13.932592666666666</v>
      </c>
      <c r="CG93" s="74" t="s">
        <v>1741</v>
      </c>
      <c r="CH93" s="57" t="s">
        <v>1926</v>
      </c>
      <c r="CI93" s="57" t="s">
        <v>1925</v>
      </c>
      <c r="CJ93" s="57">
        <v>45</v>
      </c>
      <c r="CK93" s="58">
        <v>626.96667000000002</v>
      </c>
      <c r="CL93" s="58">
        <f>IFERROR(Table6[[#This Row],[Redbook WAC price per tablet/capsule (Jan 2023)]]/Table6[[#This Row],[Redbook package strength (mg) (Jan 2023)]], "")</f>
        <v>13.932592666666666</v>
      </c>
      <c r="CM93" s="57" t="s">
        <v>1741</v>
      </c>
      <c r="CN93" t="s">
        <v>2445</v>
      </c>
    </row>
    <row r="94" spans="1:92" x14ac:dyDescent="0.3">
      <c r="A94" t="s">
        <v>2081</v>
      </c>
      <c r="B94" s="57"/>
      <c r="C94" s="57"/>
      <c r="D94" s="57"/>
      <c r="E94" s="57"/>
      <c r="F94" s="57" t="str">
        <f>IFERROR(Table6[[#This Row],[Redbook WAC price per tablet/capsule (Jan 2016)]]/Table6[[#This Row],[Redbook package strength (mg) (Jan 2016)]], "")</f>
        <v/>
      </c>
      <c r="G94" s="74"/>
      <c r="H94" s="57"/>
      <c r="I94" s="57"/>
      <c r="J94" s="57"/>
      <c r="K94" s="57"/>
      <c r="L94" s="57" t="str">
        <f>IFERROR(Table6[[#This Row],[Redbook WAC price per tablet/capsule (Jul 2016)]]/Table6[[#This Row],[Redbook package strength (mg) (Jul 2016)]], "")</f>
        <v/>
      </c>
      <c r="M94" s="74"/>
      <c r="N94" s="57"/>
      <c r="O94" s="57"/>
      <c r="P94" s="57"/>
      <c r="Q94" s="57"/>
      <c r="R94" s="57" t="str">
        <f>IFERROR(Table6[[#This Row],[Redbook WAC price per tablet/capsule (Jan 2017)]]/Table6[[#This Row],[Redbook package strength (mg) (Jan 2017)]], "")</f>
        <v/>
      </c>
      <c r="S94" s="74"/>
      <c r="T94" s="57"/>
      <c r="U94" s="57"/>
      <c r="V94" s="57"/>
      <c r="W94" s="284"/>
      <c r="X94" s="284" t="str">
        <f>IFERROR(Table6[[#This Row],[Redbook WAC price per tablet/capsule (Jul 2017)]]/Table6[[#This Row],[Redbook package strength (mg) (Jul 2017)]], "")</f>
        <v/>
      </c>
      <c r="Y94" s="57"/>
      <c r="Z94" s="388"/>
      <c r="AA94" s="389"/>
      <c r="AB94" s="158"/>
      <c r="AC94" s="390"/>
      <c r="AD94" s="390"/>
      <c r="AE94" s="391"/>
      <c r="AF94" s="388"/>
      <c r="AG94" s="389"/>
      <c r="AH94" s="397"/>
      <c r="AI94" s="399"/>
      <c r="AJ94" s="399"/>
      <c r="AK94" s="391"/>
      <c r="AL94" s="57"/>
      <c r="AO94" s="59"/>
      <c r="AP94" s="59" t="str">
        <f>IFERROR(Table6[[#This Row],[Redbook WAC price per tablet/capsule (Jan 2019)]]/Table6[[#This Row],[Redbook package strength (mg) (Jan 2019)]], "")</f>
        <v/>
      </c>
      <c r="AQ94" s="57"/>
      <c r="AR94" s="73"/>
      <c r="AU94" s="59"/>
      <c r="AV94" s="59" t="str">
        <f>IFERROR(Table6[[#This Row],[Redbook WAC price per tablet/capsule (Jul 2019)]]/Table6[[#This Row],[Redbook package strength (mg) (Jul 2019)]], "")</f>
        <v/>
      </c>
      <c r="AW94" s="57"/>
      <c r="AX94" s="73"/>
      <c r="BA94" s="59"/>
      <c r="BB94" s="59" t="str">
        <f>IFERROR(Table6[[#This Row],[Redbook WAC price per tablet/capsule (Jan 2020)]]/Table6[[#This Row],[Redbook package strength (mg) (Jan 2020)]], "")</f>
        <v/>
      </c>
      <c r="BD94" s="73"/>
      <c r="BG94" s="59"/>
      <c r="BH94" s="59" t="str">
        <f>IFERROR(Table6[[#This Row],[Redbook WAC price per tablet/capsule (Jul 2020)]]/Table6[[#This Row],[Redbook package strength (mg) (Jul 2020)]], "")</f>
        <v/>
      </c>
      <c r="BI94" s="57"/>
      <c r="BJ94" s="186"/>
      <c r="BK94" s="1" t="s">
        <v>2082</v>
      </c>
      <c r="BL94" s="1"/>
      <c r="BM94" s="190"/>
      <c r="BN94" s="190"/>
      <c r="BO94" s="191"/>
      <c r="BP94" t="s">
        <v>2083</v>
      </c>
      <c r="BQ94" t="s">
        <v>2082</v>
      </c>
      <c r="BR94">
        <v>100</v>
      </c>
      <c r="BS94" s="59">
        <v>160.36000000000001</v>
      </c>
      <c r="BT94" s="59">
        <f>IFERROR(Table6[[#This Row],[Redbook WAC price per tablet/capsule (Jul 2021)]]/Table6[[#This Row],[Redbook package strength (mg) (Jul 2021)]], "")</f>
        <v>1.6036000000000001</v>
      </c>
      <c r="BU94" t="s">
        <v>1741</v>
      </c>
      <c r="BV94" s="73" t="s">
        <v>2083</v>
      </c>
      <c r="BW94" t="s">
        <v>2082</v>
      </c>
      <c r="BX94">
        <v>100</v>
      </c>
      <c r="BY94" s="59">
        <v>165.17083299999999</v>
      </c>
      <c r="BZ94" s="59">
        <f>IFERROR(Table6[[#This Row],[Redbook WAC price per tablet/capsule (Jan 2022)]]/Table6[[#This Row],[Redbook package strength (mg) (Jan 2022)]], "")</f>
        <v>1.6517083299999999</v>
      </c>
      <c r="CA94" s="74" t="s">
        <v>1741</v>
      </c>
      <c r="CB94" t="s">
        <v>2083</v>
      </c>
      <c r="CC94" t="s">
        <v>2082</v>
      </c>
      <c r="CD94">
        <v>100</v>
      </c>
      <c r="CE94" s="58">
        <v>168.47450000000001</v>
      </c>
      <c r="CF94" s="58">
        <f>IFERROR(Table6[[#This Row],[Redbook WAC price per tablet/capsule (Jul 2022)]]/Table6[[#This Row],[Redbook package strength (mg) (Jul 2022)]], "")</f>
        <v>1.6847450000000002</v>
      </c>
      <c r="CG94" s="74" t="s">
        <v>1741</v>
      </c>
      <c r="CH94" s="57" t="s">
        <v>2083</v>
      </c>
      <c r="CI94" s="57" t="s">
        <v>2082</v>
      </c>
      <c r="CJ94" s="57">
        <v>100</v>
      </c>
      <c r="CK94" s="58">
        <v>176.89816999999999</v>
      </c>
      <c r="CL94" s="58">
        <f>IFERROR(Table6[[#This Row],[Redbook WAC price per tablet/capsule (Jan 2023)]]/Table6[[#This Row],[Redbook package strength (mg) (Jan 2023)]], "")</f>
        <v>1.7689816999999999</v>
      </c>
      <c r="CM94" s="57" t="s">
        <v>1741</v>
      </c>
    </row>
    <row r="95" spans="1:92" x14ac:dyDescent="0.3">
      <c r="A95" t="s">
        <v>2085</v>
      </c>
      <c r="B95" s="57"/>
      <c r="C95" s="57"/>
      <c r="D95" s="57"/>
      <c r="E95" s="57"/>
      <c r="F95" s="57" t="str">
        <f>IFERROR(Table6[[#This Row],[Redbook WAC price per tablet/capsule (Jan 2016)]]/Table6[[#This Row],[Redbook package strength (mg) (Jan 2016)]], "")</f>
        <v/>
      </c>
      <c r="G95" s="74"/>
      <c r="H95" s="57"/>
      <c r="I95" s="57"/>
      <c r="J95" s="57"/>
      <c r="K95" s="57"/>
      <c r="L95" s="57"/>
      <c r="M95" s="74"/>
      <c r="N95" s="57"/>
      <c r="O95" s="57"/>
      <c r="P95" s="57"/>
      <c r="Q95" s="57"/>
      <c r="R95" s="57" t="str">
        <f>IFERROR(Table6[[#This Row],[Redbook WAC price per tablet/capsule (Jan 2017)]]/Table6[[#This Row],[Redbook package strength (mg) (Jan 2017)]], "")</f>
        <v/>
      </c>
      <c r="S95" s="74"/>
      <c r="T95" s="57"/>
      <c r="U95" s="57"/>
      <c r="V95" s="57"/>
      <c r="W95" s="284"/>
      <c r="X95" s="284" t="str">
        <f>IFERROR(Table6[[#This Row],[Redbook WAC price per tablet/capsule (Jul 2017)]]/Table6[[#This Row],[Redbook package strength (mg) (Jul 2017)]], "")</f>
        <v/>
      </c>
      <c r="Y95" s="57"/>
      <c r="Z95" s="388"/>
      <c r="AA95" s="389"/>
      <c r="AB95" s="158"/>
      <c r="AC95" s="390"/>
      <c r="AD95" s="390"/>
      <c r="AE95" s="391"/>
      <c r="AF95" s="388"/>
      <c r="AG95" s="389"/>
      <c r="AH95" s="397"/>
      <c r="AI95" s="399"/>
      <c r="AJ95" s="399"/>
      <c r="AK95" s="391"/>
      <c r="AL95" s="57"/>
      <c r="AO95" s="59"/>
      <c r="AP95" s="59" t="str">
        <f>IFERROR(Table6[[#This Row],[Redbook WAC price per tablet/capsule (Jan 2019)]]/Table6[[#This Row],[Redbook package strength (mg) (Jan 2019)]], "")</f>
        <v/>
      </c>
      <c r="AQ95" s="57"/>
      <c r="AR95" s="73"/>
      <c r="AU95" s="59"/>
      <c r="AV95" s="59" t="str">
        <f>IFERROR(Table6[[#This Row],[Redbook WAC price per tablet/capsule (Jul 2019)]]/Table6[[#This Row],[Redbook package strength (mg) (Jul 2019)]], "")</f>
        <v/>
      </c>
      <c r="AW95" s="57"/>
      <c r="AX95" s="73"/>
      <c r="BA95" s="59"/>
      <c r="BB95" s="59" t="str">
        <f>IFERROR(Table6[[#This Row],[Redbook WAC price per tablet/capsule (Jan 2020)]]/Table6[[#This Row],[Redbook package strength (mg) (Jan 2020)]], "")</f>
        <v/>
      </c>
      <c r="BD95" s="73"/>
      <c r="BG95" s="59"/>
      <c r="BH95" s="59" t="str">
        <f>IFERROR(Table6[[#This Row],[Redbook WAC price per tablet/capsule (Jul 2020)]]/Table6[[#This Row],[Redbook package strength (mg) (Jul 2020)]], "")</f>
        <v/>
      </c>
      <c r="BI95" s="57"/>
      <c r="BJ95" s="73" t="s">
        <v>2086</v>
      </c>
      <c r="BK95" t="s">
        <v>2087</v>
      </c>
      <c r="BL95">
        <v>300</v>
      </c>
      <c r="BM95" s="59">
        <v>1066.66666667</v>
      </c>
      <c r="BN95" s="59">
        <f>IFERROR(Table6[[#This Row],[Redbook WAC price per tablet/capsule (Jan 2021)]]/Table6[[#This Row],[Redbook package strength (mg) (Jan 2021)]], "")</f>
        <v>3.5555555555666669</v>
      </c>
      <c r="BO95" t="s">
        <v>1741</v>
      </c>
      <c r="BP95" s="73" t="s">
        <v>2086</v>
      </c>
      <c r="BQ95" t="s">
        <v>2087</v>
      </c>
      <c r="BR95">
        <v>300</v>
      </c>
      <c r="BS95" s="59">
        <v>1118.9333300000001</v>
      </c>
      <c r="BT95" s="59">
        <f>IFERROR(Table6[[#This Row],[Redbook WAC price per tablet/capsule (Jul 2021)]]/Table6[[#This Row],[Redbook package strength (mg) (Jul 2021)]], "")</f>
        <v>3.7297777666666669</v>
      </c>
      <c r="BU95" t="s">
        <v>1741</v>
      </c>
      <c r="BV95" s="73" t="s">
        <v>2086</v>
      </c>
      <c r="BW95" t="s">
        <v>2087</v>
      </c>
      <c r="BX95">
        <v>300</v>
      </c>
      <c r="BY95" s="59">
        <v>1118.9333300000001</v>
      </c>
      <c r="BZ95" s="59">
        <f>IFERROR(Table6[[#This Row],[Redbook WAC price per tablet/capsule (Jan 2022)]]/Table6[[#This Row],[Redbook package strength (mg) (Jan 2022)]], "")</f>
        <v>3.7297777666666669</v>
      </c>
      <c r="CA95" s="74" t="s">
        <v>1741</v>
      </c>
      <c r="CB95" s="57" t="s">
        <v>2086</v>
      </c>
      <c r="CC95" t="s">
        <v>2087</v>
      </c>
      <c r="CD95" s="57">
        <v>300</v>
      </c>
      <c r="CE95" s="59">
        <v>1173.76667</v>
      </c>
      <c r="CF95" s="58">
        <f>IFERROR(Table6[[#This Row],[Redbook WAC price per tablet/capsule (Jul 2022)]]/Table6[[#This Row],[Redbook package strength (mg) (Jul 2022)]], "")</f>
        <v>3.9125555666666667</v>
      </c>
      <c r="CG95" s="74" t="s">
        <v>1741</v>
      </c>
      <c r="CH95" s="57" t="s">
        <v>2086</v>
      </c>
      <c r="CI95" s="57" t="s">
        <v>2087</v>
      </c>
      <c r="CJ95" s="57">
        <v>300</v>
      </c>
      <c r="CK95" s="58">
        <v>1173.76667</v>
      </c>
      <c r="CL95" s="58">
        <f>IFERROR(Table6[[#This Row],[Redbook WAC price per tablet/capsule (Jan 2023)]]/Table6[[#This Row],[Redbook package strength (mg) (Jan 2023)]], "")</f>
        <v>3.9125555666666667</v>
      </c>
      <c r="CM95" s="57" t="s">
        <v>1741</v>
      </c>
    </row>
    <row r="96" spans="1:92" x14ac:dyDescent="0.3">
      <c r="A96" t="s">
        <v>2088</v>
      </c>
      <c r="B96" s="57"/>
      <c r="C96" s="57"/>
      <c r="D96" s="57"/>
      <c r="E96" s="57"/>
      <c r="F96" s="57" t="str">
        <f>IFERROR(Table6[[#This Row],[Redbook WAC price per tablet/capsule (Jan 2016)]]/Table6[[#This Row],[Redbook package strength (mg) (Jan 2016)]], "")</f>
        <v/>
      </c>
      <c r="G96" s="74"/>
      <c r="H96" s="57"/>
      <c r="I96" s="57"/>
      <c r="J96" s="57"/>
      <c r="K96" s="57"/>
      <c r="L96" s="57" t="str">
        <f>IFERROR(Table6[[#This Row],[Redbook WAC price per tablet/capsule (Jul 2016)]]/Table6[[#This Row],[Redbook package strength (mg) (Jul 2016)]], "")</f>
        <v/>
      </c>
      <c r="M96" s="74"/>
      <c r="N96" s="57"/>
      <c r="O96" s="57"/>
      <c r="P96" s="57"/>
      <c r="Q96" s="57"/>
      <c r="R96" s="57" t="str">
        <f>IFERROR(Table6[[#This Row],[Redbook WAC price per tablet/capsule (Jan 2017)]]/Table6[[#This Row],[Redbook package strength (mg) (Jan 2017)]], "")</f>
        <v/>
      </c>
      <c r="S96" s="74"/>
      <c r="T96" s="57"/>
      <c r="U96" s="57"/>
      <c r="V96" s="57"/>
      <c r="W96" s="284"/>
      <c r="X96" s="284" t="str">
        <f>IFERROR(Table6[[#This Row],[Redbook WAC price per tablet/capsule (Jul 2017)]]/Table6[[#This Row],[Redbook package strength (mg) (Jul 2017)]], "")</f>
        <v/>
      </c>
      <c r="Y96" s="57"/>
      <c r="Z96" s="388"/>
      <c r="AA96" s="389"/>
      <c r="AB96" s="158"/>
      <c r="AC96" s="390"/>
      <c r="AD96" s="390"/>
      <c r="AE96" s="391"/>
      <c r="AF96" s="388"/>
      <c r="AG96" s="389"/>
      <c r="AH96" s="397"/>
      <c r="AI96" s="399"/>
      <c r="AJ96" s="399"/>
      <c r="AK96" s="391"/>
      <c r="AL96" s="57"/>
      <c r="AO96" s="59"/>
      <c r="AP96" s="59" t="str">
        <f>IFERROR(Table6[[#This Row],[Redbook WAC price per tablet/capsule (Jan 2019)]]/Table6[[#This Row],[Redbook package strength (mg) (Jan 2019)]], "")</f>
        <v/>
      </c>
      <c r="AQ96" s="57"/>
      <c r="AR96" s="73"/>
      <c r="AU96" s="59"/>
      <c r="AV96" s="59" t="str">
        <f>IFERROR(Table6[[#This Row],[Redbook WAC price per tablet/capsule (Jul 2019)]]/Table6[[#This Row],[Redbook package strength (mg) (Jul 2019)]], "")</f>
        <v/>
      </c>
      <c r="AW96" s="74"/>
      <c r="BA96" s="59"/>
      <c r="BB96" s="59" t="str">
        <f>IFERROR(Table6[[#This Row],[Redbook WAC price per tablet/capsule (Jan 2020)]]/Table6[[#This Row],[Redbook package strength (mg) (Jan 2020)]], "")</f>
        <v/>
      </c>
      <c r="BD96" s="73"/>
      <c r="BG96" s="59"/>
      <c r="BH96" s="59" t="str">
        <f>IFERROR(Table6[[#This Row],[Redbook WAC price per tablet/capsule (Jul 2020)]]/Table6[[#This Row],[Redbook package strength (mg) (Jul 2020)]], "")</f>
        <v/>
      </c>
      <c r="BI96" s="57"/>
      <c r="BJ96" s="73" t="s">
        <v>2089</v>
      </c>
      <c r="BK96" t="s">
        <v>2090</v>
      </c>
      <c r="BL96">
        <v>50</v>
      </c>
      <c r="BM96" s="59">
        <v>355.55555833300002</v>
      </c>
      <c r="BN96" s="59">
        <f>IFERROR(Table6[[#This Row],[Redbook WAC price per tablet/capsule (Jan 2021)]]/Table6[[#This Row],[Redbook package strength (mg) (Jan 2021)]], "")</f>
        <v>7.1111111666600006</v>
      </c>
      <c r="BO96" t="s">
        <v>1741</v>
      </c>
      <c r="BP96" s="73" t="s">
        <v>2089</v>
      </c>
      <c r="BQ96" t="s">
        <v>2090</v>
      </c>
      <c r="BR96">
        <v>50</v>
      </c>
      <c r="BS96" s="59">
        <v>373</v>
      </c>
      <c r="BT96" s="59">
        <f>IFERROR(Table6[[#This Row],[Redbook WAC price per tablet/capsule (Jul 2021)]]/Table6[[#This Row],[Redbook package strength (mg) (Jul 2021)]], "")</f>
        <v>7.46</v>
      </c>
      <c r="BU96" t="s">
        <v>1741</v>
      </c>
      <c r="BV96" s="73" t="s">
        <v>2089</v>
      </c>
      <c r="BW96" t="s">
        <v>2090</v>
      </c>
      <c r="BX96">
        <v>50</v>
      </c>
      <c r="BY96" s="59">
        <v>373</v>
      </c>
      <c r="BZ96" s="59">
        <f>IFERROR(Table6[[#This Row],[Redbook WAC price per tablet/capsule (Jan 2022)]]/Table6[[#This Row],[Redbook package strength (mg) (Jan 2022)]], "")</f>
        <v>7.46</v>
      </c>
      <c r="CA96" s="74" t="s">
        <v>1741</v>
      </c>
      <c r="CB96" s="73" t="s">
        <v>2089</v>
      </c>
      <c r="CC96" t="s">
        <v>2090</v>
      </c>
      <c r="CD96">
        <v>50</v>
      </c>
      <c r="CE96" s="58">
        <v>403.4</v>
      </c>
      <c r="CF96" s="58">
        <f>IFERROR(Table6[[#This Row],[Redbook WAC price per tablet/capsule (Jul 2022)]]/Table6[[#This Row],[Redbook package strength (mg) (Jul 2022)]], "")</f>
        <v>8.0679999999999996</v>
      </c>
      <c r="CG96" s="74" t="s">
        <v>1741</v>
      </c>
      <c r="CH96" s="57" t="s">
        <v>2089</v>
      </c>
      <c r="CI96" s="57" t="s">
        <v>2090</v>
      </c>
      <c r="CJ96" s="57">
        <v>50</v>
      </c>
      <c r="CK96" s="58">
        <v>420</v>
      </c>
      <c r="CL96" s="58">
        <f>IFERROR(Table6[[#This Row],[Redbook WAC price per tablet/capsule (Jan 2023)]]/Table6[[#This Row],[Redbook package strength (mg) (Jan 2023)]], "")</f>
        <v>8.4</v>
      </c>
      <c r="CM96" s="57" t="s">
        <v>1741</v>
      </c>
    </row>
    <row r="97" spans="1:92" x14ac:dyDescent="0.3">
      <c r="A97" t="s">
        <v>2155</v>
      </c>
      <c r="B97" s="57"/>
      <c r="C97" s="57"/>
      <c r="D97" s="57"/>
      <c r="E97" s="57"/>
      <c r="F97" s="57" t="str">
        <f>IFERROR(Table6[[#This Row],[Redbook WAC price per tablet/capsule (Jan 2016)]]/Table6[[#This Row],[Redbook package strength (mg) (Jan 2016)]], "")</f>
        <v/>
      </c>
      <c r="G97" s="74"/>
      <c r="H97" s="57"/>
      <c r="I97" s="57"/>
      <c r="J97" s="57"/>
      <c r="K97" s="57"/>
      <c r="L97" s="57" t="str">
        <f>IFERROR(Table6[[#This Row],[Redbook WAC price per tablet/capsule (Jul 2016)]]/Table6[[#This Row],[Redbook package strength (mg) (Jul 2016)]], "")</f>
        <v/>
      </c>
      <c r="M97" s="74"/>
      <c r="N97" s="57"/>
      <c r="O97" s="57"/>
      <c r="P97" s="57"/>
      <c r="Q97" s="57"/>
      <c r="R97" s="57" t="str">
        <f>IFERROR(Table6[[#This Row],[Redbook WAC price per tablet/capsule (Jan 2017)]]/Table6[[#This Row],[Redbook package strength (mg) (Jan 2017)]], "")</f>
        <v/>
      </c>
      <c r="S97" s="74"/>
      <c r="T97" s="57"/>
      <c r="U97" s="57"/>
      <c r="V97" s="57"/>
      <c r="W97" s="284"/>
      <c r="X97" s="284" t="str">
        <f>IFERROR(Table6[[#This Row],[Redbook WAC price per tablet/capsule (Jul 2017)]]/Table6[[#This Row],[Redbook package strength (mg) (Jul 2017)]], "")</f>
        <v/>
      </c>
      <c r="Y97" s="57"/>
      <c r="Z97" s="388"/>
      <c r="AA97" s="389"/>
      <c r="AB97" s="158"/>
      <c r="AC97" s="390"/>
      <c r="AD97" s="390"/>
      <c r="AE97" s="391"/>
      <c r="AF97" s="388"/>
      <c r="AG97" s="389"/>
      <c r="AH97" s="397"/>
      <c r="AI97" s="399"/>
      <c r="AJ97" s="399"/>
      <c r="AK97" s="391"/>
      <c r="AL97" s="57"/>
      <c r="AO97" s="59"/>
      <c r="AP97" s="59" t="str">
        <f>IFERROR(Table6[[#This Row],[Redbook WAC price per tablet/capsule (Jan 2019)]]/Table6[[#This Row],[Redbook package strength (mg) (Jan 2019)]], "")</f>
        <v/>
      </c>
      <c r="AQ97" s="57"/>
      <c r="AR97" s="73"/>
      <c r="AU97" s="59"/>
      <c r="AV97" s="59" t="str">
        <f>IFERROR(Table6[[#This Row],[Redbook WAC price per tablet/capsule (Jul 2019)]]/Table6[[#This Row],[Redbook package strength (mg) (Jul 2019)]], "")</f>
        <v/>
      </c>
      <c r="AW97" s="57"/>
      <c r="BA97" s="59"/>
      <c r="BB97" s="59" t="str">
        <f>IFERROR(Table6[[#This Row],[Redbook WAC price per tablet/capsule (Jan 2020)]]/Table6[[#This Row],[Redbook package strength (mg) (Jan 2020)]], "")</f>
        <v/>
      </c>
      <c r="BD97" s="73"/>
      <c r="BG97" s="59"/>
      <c r="BH97" s="59" t="str">
        <f>IFERROR(Table6[[#This Row],[Redbook WAC price per tablet/capsule (Jul 2020)]]/Table6[[#This Row],[Redbook package strength (mg) (Jul 2020)]], "")</f>
        <v/>
      </c>
      <c r="BI97" s="57"/>
      <c r="BM97" s="59"/>
      <c r="BN97" s="59" t="str">
        <f>IFERROR(Table6[[#This Row],[Redbook WAC price per tablet/capsule (Jan 2021)]]/Table6[[#This Row],[Redbook package strength (mg) (Jan 2021)]], "")</f>
        <v/>
      </c>
      <c r="BP97" s="73" t="s">
        <v>2156</v>
      </c>
      <c r="BQ97" t="s">
        <v>2157</v>
      </c>
      <c r="BR97">
        <v>225</v>
      </c>
      <c r="BS97" s="59">
        <v>365.72</v>
      </c>
      <c r="BT97" s="59">
        <f>IFERROR(Table6[[#This Row],[Redbook WAC price per tablet/capsule (Jul 2021)]]/Table6[[#This Row],[Redbook package strength (mg) (Jul 2021)]], "")</f>
        <v>1.6254222222222223</v>
      </c>
      <c r="BU97" t="s">
        <v>1741</v>
      </c>
      <c r="BV97" s="73" t="s">
        <v>2156</v>
      </c>
      <c r="BW97" t="s">
        <v>2157</v>
      </c>
      <c r="BX97">
        <v>225</v>
      </c>
      <c r="BY97" s="59">
        <v>348.31</v>
      </c>
      <c r="BZ97" s="59">
        <f>IFERROR(Table6[[#This Row],[Redbook WAC price per tablet/capsule (Jan 2022)]]/Table6[[#This Row],[Redbook package strength (mg) (Jan 2022)]], "")</f>
        <v>1.5480444444444446</v>
      </c>
      <c r="CA97" s="74" t="s">
        <v>1741</v>
      </c>
      <c r="CB97" t="s">
        <v>2156</v>
      </c>
      <c r="CC97" t="s">
        <v>2157</v>
      </c>
      <c r="CD97">
        <v>225</v>
      </c>
      <c r="CE97" s="59">
        <v>365.72</v>
      </c>
      <c r="CF97" s="59">
        <f>IFERROR(Table6[[#This Row],[Redbook WAC price per tablet/capsule (Jul 2022)]]/Table6[[#This Row],[Redbook package strength (mg) (Jul 2022)]], "")</f>
        <v>1.6254222222222223</v>
      </c>
      <c r="CG97" s="74" t="s">
        <v>1741</v>
      </c>
      <c r="CH97" t="s">
        <v>2156</v>
      </c>
      <c r="CI97" t="s">
        <v>2157</v>
      </c>
      <c r="CJ97">
        <v>225</v>
      </c>
      <c r="CK97" s="59">
        <v>365.72</v>
      </c>
      <c r="CL97" s="59">
        <f>IFERROR(Table6[[#This Row],[Redbook WAC price per tablet/capsule (Jan 2023)]]/Table6[[#This Row],[Redbook package strength (mg) (Jan 2023)]], "")</f>
        <v>1.6254222222222223</v>
      </c>
      <c r="CM97" t="s">
        <v>1741</v>
      </c>
    </row>
    <row r="98" spans="1:92" x14ac:dyDescent="0.3">
      <c r="A98" t="s">
        <v>2166</v>
      </c>
      <c r="B98" s="57"/>
      <c r="C98" s="57"/>
      <c r="D98" s="57"/>
      <c r="E98" s="57"/>
      <c r="F98" s="57" t="str">
        <f>IFERROR(Table6[[#This Row],[Redbook WAC price per tablet/capsule (Jan 2016)]]/Table6[[#This Row],[Redbook package strength (mg) (Jan 2016)]], "")</f>
        <v/>
      </c>
      <c r="G98" s="74"/>
      <c r="H98" s="57"/>
      <c r="I98" s="57"/>
      <c r="J98" s="57"/>
      <c r="K98" s="57"/>
      <c r="L98" s="57" t="str">
        <f>IFERROR(Table6[[#This Row],[Redbook WAC price per tablet/capsule (Jul 2016)]]/Table6[[#This Row],[Redbook package strength (mg) (Jul 2016)]], "")</f>
        <v/>
      </c>
      <c r="M98" s="74"/>
      <c r="N98" s="57"/>
      <c r="O98" s="57"/>
      <c r="P98" s="57"/>
      <c r="Q98" s="57"/>
      <c r="R98" s="57" t="str">
        <f>IFERROR(Table6[[#This Row],[Redbook WAC price per tablet/capsule (Jan 2017)]]/Table6[[#This Row],[Redbook package strength (mg) (Jan 2017)]], "")</f>
        <v/>
      </c>
      <c r="S98" s="74"/>
      <c r="T98" s="57"/>
      <c r="U98" s="57"/>
      <c r="V98" s="57"/>
      <c r="W98" s="284"/>
      <c r="X98" s="284" t="str">
        <f>IFERROR(Table6[[#This Row],[Redbook WAC price per tablet/capsule (Jul 2017)]]/Table6[[#This Row],[Redbook package strength (mg) (Jul 2017)]], "")</f>
        <v/>
      </c>
      <c r="Y98" s="57"/>
      <c r="Z98" s="388"/>
      <c r="AA98" s="389"/>
      <c r="AB98" s="158"/>
      <c r="AC98" s="390"/>
      <c r="AD98" s="390"/>
      <c r="AE98" s="391"/>
      <c r="AF98" s="388"/>
      <c r="AG98" s="389"/>
      <c r="AH98" s="397"/>
      <c r="AI98" s="399"/>
      <c r="AJ98" s="399"/>
      <c r="AK98" s="391"/>
      <c r="AL98" s="57"/>
      <c r="AO98" s="59"/>
      <c r="AP98" s="59" t="str">
        <f>IFERROR(Table6[[#This Row],[Redbook WAC price per tablet/capsule (Jan 2019)]]/Table6[[#This Row],[Redbook package strength (mg) (Jan 2019)]], "")</f>
        <v/>
      </c>
      <c r="AQ98" s="57"/>
      <c r="AR98" s="73"/>
      <c r="AU98" s="59"/>
      <c r="AV98" s="59" t="str">
        <f>IFERROR(Table6[[#This Row],[Redbook WAC price per tablet/capsule (Jul 2019)]]/Table6[[#This Row],[Redbook package strength (mg) (Jul 2019)]], "")</f>
        <v/>
      </c>
      <c r="AW98" s="57"/>
      <c r="BA98" s="59"/>
      <c r="BB98" s="59" t="str">
        <f>IFERROR(Table6[[#This Row],[Redbook WAC price per tablet/capsule (Jan 2020)]]/Table6[[#This Row],[Redbook package strength (mg) (Jan 2020)]], "")</f>
        <v/>
      </c>
      <c r="BD98" s="73"/>
      <c r="BG98" s="59"/>
      <c r="BH98" s="59" t="str">
        <f>IFERROR(Table6[[#This Row],[Redbook WAC price per tablet/capsule (Jul 2020)]]/Table6[[#This Row],[Redbook package strength (mg) (Jul 2020)]], "")</f>
        <v/>
      </c>
      <c r="BI98" s="57"/>
      <c r="BM98" s="59"/>
      <c r="BN98" s="59" t="str">
        <f>IFERROR(Table6[[#This Row],[Redbook WAC price per tablet/capsule (Jan 2021)]]/Table6[[#This Row],[Redbook package strength (mg) (Jan 2021)]], "")</f>
        <v/>
      </c>
      <c r="BP98" s="73" t="s">
        <v>2167</v>
      </c>
      <c r="BQ98" t="s">
        <v>2168</v>
      </c>
      <c r="BR98">
        <v>120</v>
      </c>
      <c r="BS98" s="59">
        <v>77.099999999999994</v>
      </c>
      <c r="BT98" s="197">
        <f>IFERROR(Table6[[#This Row],[Redbook WAC price per tablet/capsule (Jul 2021)]]/Table6[[#This Row],[Redbook package strength (mg) (Jul 2021)]], "")</f>
        <v>0.64249999999999996</v>
      </c>
      <c r="BU98" t="s">
        <v>1741</v>
      </c>
      <c r="BV98" t="s">
        <v>2167</v>
      </c>
      <c r="BW98" t="s">
        <v>2384</v>
      </c>
      <c r="BX98">
        <v>120</v>
      </c>
      <c r="BY98" s="59">
        <v>81.880330000000001</v>
      </c>
      <c r="BZ98" s="59">
        <f>IFERROR(Table6[[#This Row],[Redbook WAC price per tablet/capsule (Jan 2022)]]/Table6[[#This Row],[Redbook package strength (mg) (Jan 2022)]], "")</f>
        <v>0.68233608333333329</v>
      </c>
      <c r="CA98" s="74" t="s">
        <v>1741</v>
      </c>
      <c r="CB98" t="s">
        <v>2167</v>
      </c>
      <c r="CC98" t="s">
        <v>2384</v>
      </c>
      <c r="CD98">
        <v>120</v>
      </c>
      <c r="CE98" s="59">
        <v>81.880330000000001</v>
      </c>
      <c r="CF98" s="59">
        <f>IFERROR(Table6[[#This Row],[Redbook WAC price per tablet/capsule (Jul 2022)]]/Table6[[#This Row],[Redbook package strength (mg) (Jul 2022)]], "")</f>
        <v>0.68233608333333329</v>
      </c>
      <c r="CG98" s="74" t="s">
        <v>1741</v>
      </c>
      <c r="CH98" t="s">
        <v>2167</v>
      </c>
      <c r="CI98" t="s">
        <v>2384</v>
      </c>
      <c r="CJ98">
        <v>120</v>
      </c>
      <c r="CK98" s="59">
        <v>81.880330000000001</v>
      </c>
      <c r="CL98" s="59">
        <f>IFERROR(Table6[[#This Row],[Redbook WAC price per tablet/capsule (Jan 2023)]]/Table6[[#This Row],[Redbook package strength (mg) (Jan 2023)]], "")</f>
        <v>0.68233608333333329</v>
      </c>
      <c r="CM98" t="s">
        <v>1741</v>
      </c>
    </row>
    <row r="99" spans="1:92" x14ac:dyDescent="0.3">
      <c r="A99" t="s">
        <v>2620</v>
      </c>
      <c r="B99" s="343"/>
      <c r="C99" s="343"/>
      <c r="D99" s="343"/>
      <c r="E99" s="343"/>
      <c r="F99" s="343" t="str">
        <f>IFERROR(Table6[[#This Row],[Redbook WAC price per tablet/capsule (Jan 2016)]]/Table6[[#This Row],[Redbook package strength (mg) (Jan 2016)]], "")</f>
        <v/>
      </c>
      <c r="G99" s="351"/>
      <c r="H99" s="343"/>
      <c r="I99" s="343"/>
      <c r="J99" s="343"/>
      <c r="K99" s="343"/>
      <c r="L99" s="57" t="str">
        <f>IFERROR(Table6[[#This Row],[Redbook WAC price per tablet/capsule (Jul 2016)]]/Table6[[#This Row],[Redbook package strength (mg) (Jul 2016)]], "")</f>
        <v/>
      </c>
      <c r="M99" s="351"/>
      <c r="N99" s="343" t="s">
        <v>2619</v>
      </c>
      <c r="O99" s="343" t="s">
        <v>2621</v>
      </c>
      <c r="P99" s="343">
        <v>50</v>
      </c>
      <c r="Q99" s="343">
        <v>9.83</v>
      </c>
      <c r="R99" s="57">
        <f>IFERROR(Table6[[#This Row],[Redbook WAC price per tablet/capsule (Jan 2017)]]/Table6[[#This Row],[Redbook package strength (mg) (Jan 2017)]], "")</f>
        <v>0.1966</v>
      </c>
      <c r="S99" s="351" t="s">
        <v>1741</v>
      </c>
      <c r="T99" s="343" t="s">
        <v>2619</v>
      </c>
      <c r="U99" t="s">
        <v>2621</v>
      </c>
      <c r="V99">
        <v>50</v>
      </c>
      <c r="W99" s="285">
        <v>9.83</v>
      </c>
      <c r="X99" s="285">
        <f>IFERROR(Table6[[#This Row],[Redbook WAC price per tablet/capsule (Jul 2017)]]/Table6[[#This Row],[Redbook package strength (mg) (Jul 2017)]], "")</f>
        <v>0.1966</v>
      </c>
      <c r="Y99" t="s">
        <v>1741</v>
      </c>
      <c r="Z99" s="388" t="s">
        <v>2619</v>
      </c>
      <c r="AA99" s="389" t="s">
        <v>2621</v>
      </c>
      <c r="AB99" s="158">
        <v>50</v>
      </c>
      <c r="AC99" s="390">
        <v>9.83</v>
      </c>
      <c r="AD99" s="390">
        <f>Table6[[#This Row],[Redbook WAC price per tablet/capsule (Jan 2018)]]/Table6[[#This Row],[Redbook package strength (mg) (Jan 2018)]]</f>
        <v>0.1966</v>
      </c>
      <c r="AE99" s="391" t="s">
        <v>1741</v>
      </c>
      <c r="AF99" s="388" t="s">
        <v>2619</v>
      </c>
      <c r="AG99" s="389" t="s">
        <v>2621</v>
      </c>
      <c r="AH99" s="397">
        <v>50</v>
      </c>
      <c r="AI99" s="399">
        <v>9.83</v>
      </c>
      <c r="AJ99" s="399">
        <f>Table6[[#This Row],[Redbook WAC price per tablet/capsule (Jul 2018)]]/Table6[[#This Row],[Redbook package strength (mg) (Jul 2018)]]</f>
        <v>0.1966</v>
      </c>
      <c r="AK99" s="391" t="s">
        <v>1741</v>
      </c>
      <c r="AL99" s="57"/>
      <c r="AO99" s="59"/>
      <c r="AP99" s="59" t="str">
        <f>IFERROR(Table6[[#This Row],[Redbook WAC price per tablet/capsule (Jan 2019)]]/Table6[[#This Row],[Redbook package strength (mg) (Jan 2019)]], "")</f>
        <v/>
      </c>
      <c r="AQ99" s="57"/>
      <c r="AR99" s="73"/>
      <c r="AU99" s="59"/>
      <c r="AV99" s="59" t="str">
        <f>IFERROR(Table6[[#This Row],[Redbook WAC price per tablet/capsule (Jul 2019)]]/Table6[[#This Row],[Redbook package strength (mg) (Jul 2019)]], "")</f>
        <v/>
      </c>
      <c r="AW99" s="57"/>
      <c r="BA99" s="59"/>
      <c r="BB99" s="59" t="str">
        <f>IFERROR(Table6[[#This Row],[Redbook WAC price per tablet/capsule (Jan 2020)]]/Table6[[#This Row],[Redbook package strength (mg) (Jan 2020)]], "")</f>
        <v/>
      </c>
      <c r="BD99" s="73"/>
      <c r="BG99" s="59"/>
      <c r="BH99" s="59" t="str">
        <f>IFERROR(Table6[[#This Row],[Redbook WAC price per tablet/capsule (Jul 2020)]]/Table6[[#This Row],[Redbook package strength (mg) (Jul 2020)]], "")</f>
        <v/>
      </c>
      <c r="BI99" s="57"/>
      <c r="BM99" s="59"/>
      <c r="BN99" s="59" t="str">
        <f>IFERROR(Table6[[#This Row],[Redbook WAC price per tablet/capsule (Jan 2021)]]/Table6[[#This Row],[Redbook package strength (mg) (Jan 2021)]], "")</f>
        <v/>
      </c>
      <c r="BP99" s="73"/>
      <c r="BS99" s="59"/>
      <c r="BT99" s="197" t="str">
        <f>IFERROR(Table6[[#This Row],[Redbook WAC price per tablet/capsule (Jul 2021)]]/Table6[[#This Row],[Redbook package strength (mg) (Jul 2021)]], "")</f>
        <v/>
      </c>
      <c r="BV99" s="73"/>
      <c r="BY99" s="59"/>
      <c r="BZ99" s="59" t="str">
        <f>IFERROR(Table6[[#This Row],[Redbook WAC price per tablet/capsule (Jan 2022)]]/Table6[[#This Row],[Redbook package strength (mg) (Jan 2022)]], "")</f>
        <v/>
      </c>
      <c r="CA99" s="57"/>
      <c r="CE99" s="59"/>
      <c r="CF99" s="59" t="str">
        <f>IFERROR(Table6[[#This Row],[Redbook WAC price per tablet/capsule (Jul 2022)]]/Table6[[#This Row],[Redbook package strength (mg) (Jul 2022)]], "")</f>
        <v/>
      </c>
      <c r="CG99" s="74"/>
      <c r="CK99" s="59"/>
      <c r="CL99" s="59" t="str">
        <f>IFERROR(Table6[[#This Row],[Redbook WAC price per tablet/capsule (Jan 2023)]]/Table6[[#This Row],[Redbook package strength (mg) (Jan 2023)]], "")</f>
        <v/>
      </c>
    </row>
    <row r="100" spans="1:92" x14ac:dyDescent="0.3">
      <c r="A100" t="s">
        <v>2674</v>
      </c>
      <c r="B100" t="s">
        <v>2675</v>
      </c>
      <c r="C100" t="s">
        <v>2676</v>
      </c>
      <c r="D100">
        <v>100</v>
      </c>
      <c r="E100">
        <v>97.6907666667</v>
      </c>
      <c r="F100" s="366">
        <f>IFERROR(Table6[[#This Row],[Redbook WAC price per tablet/capsule (Jan 2016)]]/Table6[[#This Row],[Redbook package strength (mg) (Jan 2016)]], "")</f>
        <v>0.97690766666700002</v>
      </c>
      <c r="G100" s="74" t="s">
        <v>1741</v>
      </c>
      <c r="H100" t="s">
        <v>2675</v>
      </c>
      <c r="I100" t="s">
        <v>2676</v>
      </c>
      <c r="J100">
        <v>100</v>
      </c>
      <c r="K100">
        <v>103.55215</v>
      </c>
      <c r="L100" s="57">
        <f>IFERROR(Table6[[#This Row],[Redbook WAC price per tablet/capsule (Jul 2016)]]/Table6[[#This Row],[Redbook package strength (mg) (Jul 2016)]], "")</f>
        <v>1.0355215</v>
      </c>
      <c r="M100" s="74" t="s">
        <v>1741</v>
      </c>
      <c r="R100" s="57" t="str">
        <f>IFERROR(Table6[[#This Row],[Redbook WAC price per tablet/capsule (Jan 2017)]]/Table6[[#This Row],[Redbook package strength (mg) (Jan 2017)]], "")</f>
        <v/>
      </c>
      <c r="S100" s="74"/>
      <c r="W100" s="285"/>
      <c r="X100" s="285" t="str">
        <f>IFERROR(Table6[[#This Row],[Redbook WAC price per tablet/capsule (Jul 2017)]]/Table6[[#This Row],[Redbook package strength (mg) (Jul 2017)]], "")</f>
        <v/>
      </c>
      <c r="Z100" s="388"/>
      <c r="AA100" s="392"/>
      <c r="AB100" s="393"/>
      <c r="AC100" s="394"/>
      <c r="AD100" s="394"/>
      <c r="AE100" s="395"/>
      <c r="AF100" s="396"/>
      <c r="AG100" s="392"/>
      <c r="AH100" s="398"/>
      <c r="AI100" s="400"/>
      <c r="AJ100" s="400"/>
      <c r="AK100" s="395"/>
      <c r="AL100" s="57"/>
      <c r="AO100" s="59"/>
      <c r="AP100" s="59" t="str">
        <f>IFERROR(Table6[[#This Row],[Redbook WAC price per tablet/capsule (Jan 2019)]]/Table6[[#This Row],[Redbook package strength (mg) (Jan 2019)]], "")</f>
        <v/>
      </c>
      <c r="AQ100" s="57"/>
      <c r="AR100" s="73"/>
      <c r="AU100" s="59"/>
      <c r="AV100" s="59" t="str">
        <f>IFERROR(Table6[[#This Row],[Redbook WAC price per tablet/capsule (Jul 2019)]]/Table6[[#This Row],[Redbook package strength (mg) (Jul 2019)]], "")</f>
        <v/>
      </c>
      <c r="AW100" s="57"/>
      <c r="BA100" s="59"/>
      <c r="BB100" s="59" t="str">
        <f>IFERROR(Table6[[#This Row],[Redbook WAC price per tablet/capsule (Jan 2020)]]/Table6[[#This Row],[Redbook package strength (mg) (Jan 2020)]], "")</f>
        <v/>
      </c>
      <c r="BD100" s="73"/>
      <c r="BG100" s="59"/>
      <c r="BH100" s="59" t="str">
        <f>IFERROR(Table6[[#This Row],[Redbook WAC price per tablet/capsule (Jul 2020)]]/Table6[[#This Row],[Redbook package strength (mg) (Jul 2020)]], "")</f>
        <v/>
      </c>
      <c r="BI100" s="57"/>
      <c r="BM100" s="59"/>
      <c r="BN100" s="59" t="str">
        <f>IFERROR(Table6[[#This Row],[Redbook WAC price per tablet/capsule (Jan 2021)]]/Table6[[#This Row],[Redbook package strength (mg) (Jan 2021)]], "")</f>
        <v/>
      </c>
      <c r="BP100" s="73"/>
      <c r="BS100" s="59"/>
      <c r="BT100" s="197" t="str">
        <f>IFERROR(Table6[[#This Row],[Redbook WAC price per tablet/capsule (Jul 2021)]]/Table6[[#This Row],[Redbook package strength (mg) (Jul 2021)]], "")</f>
        <v/>
      </c>
      <c r="BV100" s="73"/>
      <c r="BY100" s="59"/>
      <c r="BZ100" s="59" t="str">
        <f>IFERROR(Table6[[#This Row],[Redbook WAC price per tablet/capsule (Jan 2022)]]/Table6[[#This Row],[Redbook package strength (mg) (Jan 2022)]], "")</f>
        <v/>
      </c>
      <c r="CA100" s="57"/>
      <c r="CE100" s="59"/>
      <c r="CF100" s="59" t="str">
        <f>IFERROR(Table6[[#This Row],[Redbook WAC price per tablet/capsule (Jul 2022)]]/Table6[[#This Row],[Redbook package strength (mg) (Jul 2022)]], "")</f>
        <v/>
      </c>
      <c r="CG100" s="74"/>
      <c r="CK100" s="59"/>
      <c r="CL100" s="59" t="str">
        <f>IFERROR(Table6[[#This Row],[Redbook WAC price per tablet/capsule (Jan 2023)]]/Table6[[#This Row],[Redbook package strength (mg) (Jan 2023)]], "")</f>
        <v/>
      </c>
    </row>
    <row r="101" spans="1:92" x14ac:dyDescent="0.3">
      <c r="A101" t="s">
        <v>2727</v>
      </c>
      <c r="F101" s="366" t="str">
        <f>IFERROR(Table6[[#This Row],[Redbook WAC price per tablet/capsule (Jan 2016)]]/Table6[[#This Row],[Redbook package strength (mg) (Jan 2016)]], "")</f>
        <v/>
      </c>
      <c r="G101" s="74"/>
      <c r="L101" s="57" t="str">
        <f>IFERROR(Table6[[#This Row],[Redbook WAC price per tablet/capsule (Jul 2016)]]/Table6[[#This Row],[Redbook package strength (mg) (Jul 2016)]], "")</f>
        <v/>
      </c>
      <c r="M101" s="74"/>
      <c r="R101" s="57" t="str">
        <f>IFERROR(Table6[[#This Row],[Redbook WAC price per tablet/capsule (Jan 2017)]]/Table6[[#This Row],[Redbook package strength (mg) (Jan 2017)]], "")</f>
        <v/>
      </c>
      <c r="S101" s="74"/>
      <c r="W101" s="285"/>
      <c r="X101" s="285" t="str">
        <f>IFERROR(Table6[[#This Row],[Redbook WAC price per tablet/capsule (Jul 2017)]]/Table6[[#This Row],[Redbook package strength (mg) (Jul 2017)]], "")</f>
        <v/>
      </c>
      <c r="Y101" s="298"/>
      <c r="Z101" s="388"/>
      <c r="AA101" s="406"/>
      <c r="AB101" s="403"/>
      <c r="AC101" s="390"/>
      <c r="AD101" s="390" t="e">
        <f>Table6[[#This Row],[Redbook WAC price per tablet/capsule (Jan 2018)]]/Table6[[#This Row],[Redbook package strength (mg) (Jan 2018)]]</f>
        <v>#DIV/0!</v>
      </c>
      <c r="AE101" s="404"/>
      <c r="AF101" s="405"/>
      <c r="AG101" s="406"/>
      <c r="AH101" s="407"/>
      <c r="AI101" s="399"/>
      <c r="AJ101" s="399" t="e">
        <f>Table6[[#This Row],[Redbook WAC price per tablet/capsule (Jul 2018)]]/Table6[[#This Row],[Redbook package strength (mg) (Jul 2018)]]</f>
        <v>#DIV/0!</v>
      </c>
      <c r="AK101" s="404"/>
      <c r="AL101" s="408"/>
      <c r="AO101" s="59"/>
      <c r="AP101" s="59" t="str">
        <f>IFERROR(Table6[[#This Row],[Redbook WAC price per tablet/capsule (Jan 2019)]]/Table6[[#This Row],[Redbook package strength (mg) (Jan 2019)]], "")</f>
        <v/>
      </c>
      <c r="AQ101" s="57"/>
      <c r="AR101" s="73"/>
      <c r="AU101" s="59"/>
      <c r="AV101" s="59" t="str">
        <f>IFERROR(Table6[[#This Row],[Redbook WAC price per tablet/capsule (Jul 2019)]]/Table6[[#This Row],[Redbook package strength (mg) (Jul 2019)]], "")</f>
        <v/>
      </c>
      <c r="AW101" s="57"/>
      <c r="BA101" s="59"/>
      <c r="BB101" s="59" t="str">
        <f>IFERROR(Table6[[#This Row],[Redbook WAC price per tablet/capsule (Jan 2020)]]/Table6[[#This Row],[Redbook package strength (mg) (Jan 2020)]], "")</f>
        <v/>
      </c>
      <c r="BD101" s="73"/>
      <c r="BG101" s="59"/>
      <c r="BH101" s="59" t="str">
        <f>IFERROR(Table6[[#This Row],[Redbook WAC price per tablet/capsule (Jul 2020)]]/Table6[[#This Row],[Redbook package strength (mg) (Jul 2020)]], "")</f>
        <v/>
      </c>
      <c r="BI101" s="57"/>
      <c r="BM101" s="59"/>
      <c r="BN101" s="59" t="str">
        <f>IFERROR(Table6[[#This Row],[Redbook WAC price per tablet/capsule (Jan 2021)]]/Table6[[#This Row],[Redbook package strength (mg) (Jan 2021)]], "")</f>
        <v/>
      </c>
      <c r="BP101" s="73"/>
      <c r="BS101" s="59"/>
      <c r="BT101" s="197" t="str">
        <f>IFERROR(Table6[[#This Row],[Redbook WAC price per tablet/capsule (Jul 2021)]]/Table6[[#This Row],[Redbook package strength (mg) (Jul 2021)]], "")</f>
        <v/>
      </c>
      <c r="BV101" s="73" t="s">
        <v>2728</v>
      </c>
      <c r="BW101" t="s">
        <v>2729</v>
      </c>
      <c r="BX101">
        <v>40</v>
      </c>
      <c r="BY101" s="59">
        <v>208.33</v>
      </c>
      <c r="BZ101" s="59">
        <f>IFERROR(Table6[[#This Row],[Redbook WAC price per tablet/capsule (Jan 2022)]]/Table6[[#This Row],[Redbook package strength (mg) (Jan 2022)]], "")</f>
        <v>5.2082500000000005</v>
      </c>
      <c r="CA101" s="57" t="s">
        <v>1741</v>
      </c>
      <c r="CE101" s="59"/>
      <c r="CF101" s="59" t="str">
        <f>IFERROR(Table6[[#This Row],[Redbook WAC price per tablet/capsule (Jul 2022)]]/Table6[[#This Row],[Redbook package strength (mg) (Jul 2022)]], "")</f>
        <v/>
      </c>
      <c r="CG101" s="74"/>
      <c r="CK101" s="59"/>
      <c r="CL101" s="59" t="str">
        <f>IFERROR(Table6[[#This Row],[Redbook WAC price per tablet/capsule (Jan 2023)]]/Table6[[#This Row],[Redbook package strength (mg) (Jan 2023)]], "")</f>
        <v/>
      </c>
    </row>
    <row r="102" spans="1:92" x14ac:dyDescent="0.3">
      <c r="A102" t="s">
        <v>2732</v>
      </c>
      <c r="F102" s="366" t="str">
        <f>IFERROR(Table6[[#This Row],[Redbook WAC price per tablet/capsule (Jan 2016)]]/Table6[[#This Row],[Redbook package strength (mg) (Jan 2016)]], "")</f>
        <v/>
      </c>
      <c r="G102" s="74"/>
      <c r="L102" s="57" t="str">
        <f>IFERROR(Table6[[#This Row],[Redbook WAC price per tablet/capsule (Jul 2016)]]/Table6[[#This Row],[Redbook package strength (mg) (Jul 2016)]], "")</f>
        <v/>
      </c>
      <c r="M102" s="74"/>
      <c r="R102" s="57" t="str">
        <f>IFERROR(Table6[[#This Row],[Redbook WAC price per tablet/capsule (Jan 2017)]]/Table6[[#This Row],[Redbook package strength (mg) (Jan 2017)]], "")</f>
        <v/>
      </c>
      <c r="S102" s="74"/>
      <c r="W102" s="285"/>
      <c r="X102" s="285" t="str">
        <f>IFERROR(Table6[[#This Row],[Redbook WAC price per tablet/capsule (Jul 2017)]]/Table6[[#This Row],[Redbook package strength (mg) (Jul 2017)]], "")</f>
        <v/>
      </c>
      <c r="Y102" s="298"/>
      <c r="Z102" s="388"/>
      <c r="AA102" s="406"/>
      <c r="AB102" s="403"/>
      <c r="AC102" s="390"/>
      <c r="AD102" s="390" t="e">
        <f>Table6[[#This Row],[Redbook WAC price per tablet/capsule (Jan 2018)]]/Table6[[#This Row],[Redbook package strength (mg) (Jan 2018)]]</f>
        <v>#DIV/0!</v>
      </c>
      <c r="AE102" s="404"/>
      <c r="AF102" s="405"/>
      <c r="AG102" s="406"/>
      <c r="AH102" s="407"/>
      <c r="AI102" s="399"/>
      <c r="AJ102" s="399" t="e">
        <f>Table6[[#This Row],[Redbook WAC price per tablet/capsule (Jul 2018)]]/Table6[[#This Row],[Redbook package strength (mg) (Jul 2018)]]</f>
        <v>#DIV/0!</v>
      </c>
      <c r="AK102" s="404"/>
      <c r="AL102" s="408"/>
      <c r="AO102" s="59"/>
      <c r="AP102" s="59" t="str">
        <f>IFERROR(Table6[[#This Row],[Redbook WAC price per tablet/capsule (Jan 2019)]]/Table6[[#This Row],[Redbook package strength (mg) (Jan 2019)]], "")</f>
        <v/>
      </c>
      <c r="AQ102" s="57"/>
      <c r="AR102" s="73"/>
      <c r="AU102" s="59"/>
      <c r="AV102" s="59" t="str">
        <f>IFERROR(Table6[[#This Row],[Redbook WAC price per tablet/capsule (Jul 2019)]]/Table6[[#This Row],[Redbook package strength (mg) (Jul 2019)]], "")</f>
        <v/>
      </c>
      <c r="AW102" s="57"/>
      <c r="BA102" s="59"/>
      <c r="BB102" s="59" t="str">
        <f>IFERROR(Table6[[#This Row],[Redbook WAC price per tablet/capsule (Jan 2020)]]/Table6[[#This Row],[Redbook package strength (mg) (Jan 2020)]], "")</f>
        <v/>
      </c>
      <c r="BD102" s="73"/>
      <c r="BG102" s="59"/>
      <c r="BH102" s="59" t="str">
        <f>IFERROR(Table6[[#This Row],[Redbook WAC price per tablet/capsule (Jul 2020)]]/Table6[[#This Row],[Redbook package strength (mg) (Jul 2020)]], "")</f>
        <v/>
      </c>
      <c r="BI102" s="57"/>
      <c r="BM102" s="59"/>
      <c r="BN102" s="59" t="str">
        <f>IFERROR(Table6[[#This Row],[Redbook WAC price per tablet/capsule (Jan 2021)]]/Table6[[#This Row],[Redbook package strength (mg) (Jan 2021)]], "")</f>
        <v/>
      </c>
      <c r="BP102" s="73"/>
      <c r="BS102" s="59"/>
      <c r="BT102" s="197" t="str">
        <f>IFERROR(Table6[[#This Row],[Redbook WAC price per tablet/capsule (Jul 2021)]]/Table6[[#This Row],[Redbook package strength (mg) (Jul 2021)]], "")</f>
        <v/>
      </c>
      <c r="BV102" s="73" t="s">
        <v>2731</v>
      </c>
      <c r="BW102" t="s">
        <v>2730</v>
      </c>
      <c r="BX102">
        <v>320</v>
      </c>
      <c r="BY102" s="59">
        <f>268.14033</f>
        <v>268.14033000000001</v>
      </c>
      <c r="BZ102" s="59">
        <f>IFERROR(Table6[[#This Row],[Redbook WAC price per tablet/capsule (Jan 2022)]]/Table6[[#This Row],[Redbook package strength (mg) (Jan 2022)]], "")</f>
        <v>0.83793853125000006</v>
      </c>
      <c r="CA102" s="57" t="s">
        <v>1741</v>
      </c>
      <c r="CE102" s="59"/>
      <c r="CF102" s="59" t="str">
        <f>IFERROR(Table6[[#This Row],[Redbook WAC price per tablet/capsule (Jul 2022)]]/Table6[[#This Row],[Redbook package strength (mg) (Jul 2022)]], "")</f>
        <v/>
      </c>
      <c r="CG102" s="74"/>
      <c r="CK102" s="59"/>
      <c r="CL102" s="59" t="str">
        <f>IFERROR(Table6[[#This Row],[Redbook WAC price per tablet/capsule (Jan 2023)]]/Table6[[#This Row],[Redbook package strength (mg) (Jan 2023)]], "")</f>
        <v/>
      </c>
      <c r="CN102" t="s">
        <v>2733</v>
      </c>
    </row>
    <row r="103" spans="1:92" x14ac:dyDescent="0.3">
      <c r="A103" t="s">
        <v>2734</v>
      </c>
      <c r="F103" s="366" t="str">
        <f>IFERROR(Table6[[#This Row],[Redbook WAC price per tablet/capsule (Jan 2016)]]/Table6[[#This Row],[Redbook package strength (mg) (Jan 2016)]], "")</f>
        <v/>
      </c>
      <c r="G103" s="74"/>
      <c r="L103" s="57" t="str">
        <f>IFERROR(Table6[[#This Row],[Redbook WAC price per tablet/capsule (Jul 2016)]]/Table6[[#This Row],[Redbook package strength (mg) (Jul 2016)]], "")</f>
        <v/>
      </c>
      <c r="M103" s="74"/>
      <c r="R103" s="57" t="str">
        <f>IFERROR(Table6[[#This Row],[Redbook WAC price per tablet/capsule (Jan 2017)]]/Table6[[#This Row],[Redbook package strength (mg) (Jan 2017)]], "")</f>
        <v/>
      </c>
      <c r="S103" s="74"/>
      <c r="W103" s="285"/>
      <c r="X103" s="285" t="str">
        <f>IFERROR(Table6[[#This Row],[Redbook WAC price per tablet/capsule (Jul 2017)]]/Table6[[#This Row],[Redbook package strength (mg) (Jul 2017)]], "")</f>
        <v/>
      </c>
      <c r="Y103" s="298"/>
      <c r="Z103" s="388"/>
      <c r="AA103" s="406"/>
      <c r="AB103" s="403"/>
      <c r="AC103" s="390"/>
      <c r="AD103" s="390" t="e">
        <f>Table6[[#This Row],[Redbook WAC price per tablet/capsule (Jan 2018)]]/Table6[[#This Row],[Redbook package strength (mg) (Jan 2018)]]</f>
        <v>#DIV/0!</v>
      </c>
      <c r="AE103" s="404"/>
      <c r="AF103" s="405"/>
      <c r="AG103" s="406"/>
      <c r="AH103" s="407"/>
      <c r="AI103" s="399"/>
      <c r="AJ103" s="399" t="e">
        <f>Table6[[#This Row],[Redbook WAC price per tablet/capsule (Jul 2018)]]/Table6[[#This Row],[Redbook package strength (mg) (Jul 2018)]]</f>
        <v>#DIV/0!</v>
      </c>
      <c r="AK103" s="404"/>
      <c r="AL103" s="408"/>
      <c r="AO103" s="59"/>
      <c r="AP103" s="59" t="str">
        <f>IFERROR(Table6[[#This Row],[Redbook WAC price per tablet/capsule (Jan 2019)]]/Table6[[#This Row],[Redbook package strength (mg) (Jan 2019)]], "")</f>
        <v/>
      </c>
      <c r="AQ103" s="57"/>
      <c r="AR103" s="73"/>
      <c r="AU103" s="59"/>
      <c r="AV103" s="59" t="str">
        <f>IFERROR(Table6[[#This Row],[Redbook WAC price per tablet/capsule (Jul 2019)]]/Table6[[#This Row],[Redbook package strength (mg) (Jul 2019)]], "")</f>
        <v/>
      </c>
      <c r="AW103" s="57"/>
      <c r="BA103" s="59"/>
      <c r="BB103" s="59" t="str">
        <f>IFERROR(Table6[[#This Row],[Redbook WAC price per tablet/capsule (Jan 2020)]]/Table6[[#This Row],[Redbook package strength (mg) (Jan 2020)]], "")</f>
        <v/>
      </c>
      <c r="BD103" s="73"/>
      <c r="BG103" s="59"/>
      <c r="BH103" s="59" t="str">
        <f>IFERROR(Table6[[#This Row],[Redbook WAC price per tablet/capsule (Jul 2020)]]/Table6[[#This Row],[Redbook package strength (mg) (Jul 2020)]], "")</f>
        <v/>
      </c>
      <c r="BI103" s="57"/>
      <c r="BM103" s="59"/>
      <c r="BN103" s="59" t="str">
        <f>IFERROR(Table6[[#This Row],[Redbook WAC price per tablet/capsule (Jan 2021)]]/Table6[[#This Row],[Redbook package strength (mg) (Jan 2021)]], "")</f>
        <v/>
      </c>
      <c r="BP103" s="73"/>
      <c r="BS103" s="59"/>
      <c r="BT103" s="197" t="str">
        <f>IFERROR(Table6[[#This Row],[Redbook WAC price per tablet/capsule (Jul 2021)]]/Table6[[#This Row],[Redbook package strength (mg) (Jul 2021)]], "")</f>
        <v/>
      </c>
      <c r="BV103" s="73" t="s">
        <v>2735</v>
      </c>
      <c r="BW103" t="s">
        <v>2736</v>
      </c>
      <c r="BX103">
        <v>100</v>
      </c>
      <c r="BY103" s="59">
        <v>361.89499999999998</v>
      </c>
      <c r="BZ103" s="59">
        <f>IFERROR(Table6[[#This Row],[Redbook WAC price per tablet/capsule (Jan 2022)]]/Table6[[#This Row],[Redbook package strength (mg) (Jan 2022)]], "")</f>
        <v>3.6189499999999999</v>
      </c>
      <c r="CA103" s="57" t="s">
        <v>1741</v>
      </c>
      <c r="CE103" s="59"/>
      <c r="CF103" s="59" t="str">
        <f>IFERROR(Table6[[#This Row],[Redbook WAC price per tablet/capsule (Jul 2022)]]/Table6[[#This Row],[Redbook package strength (mg) (Jul 2022)]], "")</f>
        <v/>
      </c>
      <c r="CG103" s="74"/>
      <c r="CK103" s="59"/>
      <c r="CL103" s="59" t="str">
        <f>IFERROR(Table6[[#This Row],[Redbook WAC price per tablet/capsule (Jan 2023)]]/Table6[[#This Row],[Redbook package strength (mg) (Jan 2023)]], "")</f>
        <v/>
      </c>
      <c r="CN103" t="s">
        <v>2737</v>
      </c>
    </row>
    <row r="104" spans="1:92" x14ac:dyDescent="0.3">
      <c r="A104" t="s">
        <v>2738</v>
      </c>
      <c r="B104" t="s">
        <v>2739</v>
      </c>
      <c r="C104" t="s">
        <v>2740</v>
      </c>
      <c r="D104">
        <v>0.18</v>
      </c>
      <c r="E104">
        <v>1021.49167</v>
      </c>
      <c r="F104" s="366">
        <f>IFERROR(Table6[[#This Row],[Redbook WAC price per tablet/capsule (Jan 2016)]]/Table6[[#This Row],[Redbook package strength (mg) (Jan 2016)]], "")</f>
        <v>5674.9537222222225</v>
      </c>
      <c r="G104" s="74" t="s">
        <v>1741</v>
      </c>
      <c r="H104" t="s">
        <v>2739</v>
      </c>
      <c r="I104" t="s">
        <v>2740</v>
      </c>
      <c r="J104">
        <v>0.18</v>
      </c>
      <c r="K104">
        <v>1021.49167</v>
      </c>
      <c r="L104" s="57">
        <f>IFERROR(Table6[[#This Row],[Redbook WAC price per tablet/capsule (Jul 2016)]]/Table6[[#This Row],[Redbook package strength (mg) (Jul 2016)]], "")</f>
        <v>5674.9537222222225</v>
      </c>
      <c r="M104" s="74" t="s">
        <v>1741</v>
      </c>
      <c r="R104" s="57" t="str">
        <f>IFERROR(Table6[[#This Row],[Redbook WAC price per tablet/capsule (Jan 2017)]]/Table6[[#This Row],[Redbook package strength (mg) (Jan 2017)]], "")</f>
        <v/>
      </c>
      <c r="S104" s="74"/>
      <c r="W104" s="285"/>
      <c r="X104" s="285" t="str">
        <f>IFERROR(Table6[[#This Row],[Redbook WAC price per tablet/capsule (Jul 2017)]]/Table6[[#This Row],[Redbook package strength (mg) (Jul 2017)]], "")</f>
        <v/>
      </c>
      <c r="Y104" s="298"/>
      <c r="Z104" s="388"/>
      <c r="AA104" s="406"/>
      <c r="AB104" s="403"/>
      <c r="AC104" s="390"/>
      <c r="AD104" s="390" t="e">
        <f>Table6[[#This Row],[Redbook WAC price per tablet/capsule (Jan 2018)]]/Table6[[#This Row],[Redbook package strength (mg) (Jan 2018)]]</f>
        <v>#DIV/0!</v>
      </c>
      <c r="AE104" s="404"/>
      <c r="AF104" s="405"/>
      <c r="AG104" s="406"/>
      <c r="AH104" s="407"/>
      <c r="AI104" s="399"/>
      <c r="AJ104" s="399" t="e">
        <f>Table6[[#This Row],[Redbook WAC price per tablet/capsule (Jul 2018)]]/Table6[[#This Row],[Redbook package strength (mg) (Jul 2018)]]</f>
        <v>#DIV/0!</v>
      </c>
      <c r="AK104" s="404"/>
      <c r="AL104" s="408"/>
      <c r="AO104" s="59"/>
      <c r="AP104" s="59" t="str">
        <f>IFERROR(Table6[[#This Row],[Redbook WAC price per tablet/capsule (Jan 2019)]]/Table6[[#This Row],[Redbook package strength (mg) (Jan 2019)]], "")</f>
        <v/>
      </c>
      <c r="AQ104" s="57"/>
      <c r="AR104" s="73"/>
      <c r="AU104" s="59"/>
      <c r="AV104" s="59" t="str">
        <f>IFERROR(Table6[[#This Row],[Redbook WAC price per tablet/capsule (Jul 2019)]]/Table6[[#This Row],[Redbook package strength (mg) (Jul 2019)]], "")</f>
        <v/>
      </c>
      <c r="AW104" s="57"/>
      <c r="BA104" s="59"/>
      <c r="BB104" s="59" t="str">
        <f>IFERROR(Table6[[#This Row],[Redbook WAC price per tablet/capsule (Jan 2020)]]/Table6[[#This Row],[Redbook package strength (mg) (Jan 2020)]], "")</f>
        <v/>
      </c>
      <c r="BD104" s="73"/>
      <c r="BG104" s="59"/>
      <c r="BH104" s="59" t="str">
        <f>IFERROR(Table6[[#This Row],[Redbook WAC price per tablet/capsule (Jul 2020)]]/Table6[[#This Row],[Redbook package strength (mg) (Jul 2020)]], "")</f>
        <v/>
      </c>
      <c r="BI104" s="57"/>
      <c r="BM104" s="59"/>
      <c r="BN104" s="59" t="str">
        <f>IFERROR(Table6[[#This Row],[Redbook WAC price per tablet/capsule (Jan 2021)]]/Table6[[#This Row],[Redbook package strength (mg) (Jan 2021)]], "")</f>
        <v/>
      </c>
      <c r="BP104" s="73"/>
      <c r="BS104" s="59"/>
      <c r="BT104" s="197" t="str">
        <f>IFERROR(Table6[[#This Row],[Redbook WAC price per tablet/capsule (Jul 2021)]]/Table6[[#This Row],[Redbook package strength (mg) (Jul 2021)]], "")</f>
        <v/>
      </c>
      <c r="BV104" s="73"/>
      <c r="BY104" s="59"/>
      <c r="BZ104" s="59" t="str">
        <f>IFERROR(Table6[[#This Row],[Redbook WAC price per tablet/capsule (Jan 2022)]]/Table6[[#This Row],[Redbook package strength (mg) (Jan 2022)]], "")</f>
        <v/>
      </c>
      <c r="CA104" s="57"/>
      <c r="CE104" s="59"/>
      <c r="CF104" s="59" t="str">
        <f>IFERROR(Table6[[#This Row],[Redbook WAC price per tablet/capsule (Jul 2022)]]/Table6[[#This Row],[Redbook package strength (mg) (Jul 2022)]], "")</f>
        <v/>
      </c>
      <c r="CG104" s="74"/>
      <c r="CK104" s="59"/>
      <c r="CL104" s="59" t="str">
        <f>IFERROR(Table6[[#This Row],[Redbook WAC price per tablet/capsule (Jan 2023)]]/Table6[[#This Row],[Redbook package strength (mg) (Jan 2023)]], "")</f>
        <v/>
      </c>
    </row>
    <row r="105" spans="1:92" x14ac:dyDescent="0.3">
      <c r="A105" t="s">
        <v>2741</v>
      </c>
      <c r="B105" t="s">
        <v>2742</v>
      </c>
      <c r="C105" t="s">
        <v>2743</v>
      </c>
      <c r="D105">
        <v>9000000</v>
      </c>
      <c r="E105">
        <v>104.36167</v>
      </c>
      <c r="F105" s="366">
        <f>IFERROR(Table6[[#This Row],[Redbook WAC price per tablet/capsule (Jan 2016)]]/Table6[[#This Row],[Redbook package strength (mg) (Jan 2016)]], "")</f>
        <v>1.1595741111111111E-5</v>
      </c>
      <c r="G105" s="74" t="s">
        <v>1542</v>
      </c>
      <c r="H105" t="s">
        <v>2742</v>
      </c>
      <c r="I105" t="s">
        <v>2743</v>
      </c>
      <c r="J105">
        <v>9000000</v>
      </c>
      <c r="K105">
        <v>104.36167</v>
      </c>
      <c r="L105" s="57">
        <f>IFERROR(Table6[[#This Row],[Redbook WAC price per tablet/capsule (Jul 2016)]]/Table6[[#This Row],[Redbook package strength (mg) (Jul 2016)]], "")</f>
        <v>1.1595741111111111E-5</v>
      </c>
      <c r="M105" s="74" t="s">
        <v>1542</v>
      </c>
      <c r="R105" s="57" t="str">
        <f>IFERROR(Table6[[#This Row],[Redbook WAC price per tablet/capsule (Jan 2017)]]/Table6[[#This Row],[Redbook package strength (mg) (Jan 2017)]], "")</f>
        <v/>
      </c>
      <c r="S105" s="74"/>
      <c r="W105" s="285"/>
      <c r="X105" s="285" t="str">
        <f>IFERROR(Table6[[#This Row],[Redbook WAC price per tablet/capsule (Jul 2017)]]/Table6[[#This Row],[Redbook package strength (mg) (Jul 2017)]], "")</f>
        <v/>
      </c>
      <c r="Y105" s="298"/>
      <c r="Z105" s="388"/>
      <c r="AA105" s="406"/>
      <c r="AB105" s="403"/>
      <c r="AC105" s="390"/>
      <c r="AD105" s="390" t="e">
        <f>Table6[[#This Row],[Redbook WAC price per tablet/capsule (Jan 2018)]]/Table6[[#This Row],[Redbook package strength (mg) (Jan 2018)]]</f>
        <v>#DIV/0!</v>
      </c>
      <c r="AE105" s="404"/>
      <c r="AF105" s="405"/>
      <c r="AG105" s="406"/>
      <c r="AH105" s="407"/>
      <c r="AI105" s="399"/>
      <c r="AJ105" s="399" t="e">
        <f>Table6[[#This Row],[Redbook WAC price per tablet/capsule (Jul 2018)]]/Table6[[#This Row],[Redbook package strength (mg) (Jul 2018)]]</f>
        <v>#DIV/0!</v>
      </c>
      <c r="AK105" s="404"/>
      <c r="AL105" s="408"/>
      <c r="AO105" s="59"/>
      <c r="AP105" s="59" t="str">
        <f>IFERROR(Table6[[#This Row],[Redbook WAC price per tablet/capsule (Jan 2019)]]/Table6[[#This Row],[Redbook package strength (mg) (Jan 2019)]], "")</f>
        <v/>
      </c>
      <c r="AQ105" s="57"/>
      <c r="AR105" s="73"/>
      <c r="AU105" s="59"/>
      <c r="AV105" s="59" t="str">
        <f>IFERROR(Table6[[#This Row],[Redbook WAC price per tablet/capsule (Jul 2019)]]/Table6[[#This Row],[Redbook package strength (mg) (Jul 2019)]], "")</f>
        <v/>
      </c>
      <c r="AW105" s="57"/>
      <c r="BA105" s="59"/>
      <c r="BB105" s="59" t="str">
        <f>IFERROR(Table6[[#This Row],[Redbook WAC price per tablet/capsule (Jan 2020)]]/Table6[[#This Row],[Redbook package strength (mg) (Jan 2020)]], "")</f>
        <v/>
      </c>
      <c r="BD105" s="73"/>
      <c r="BG105" s="59"/>
      <c r="BH105" s="59" t="str">
        <f>IFERROR(Table6[[#This Row],[Redbook WAC price per tablet/capsule (Jul 2020)]]/Table6[[#This Row],[Redbook package strength (mg) (Jul 2020)]], "")</f>
        <v/>
      </c>
      <c r="BI105" s="57"/>
      <c r="BM105" s="59"/>
      <c r="BN105" s="59" t="str">
        <f>IFERROR(Table6[[#This Row],[Redbook WAC price per tablet/capsule (Jan 2021)]]/Table6[[#This Row],[Redbook package strength (mg) (Jan 2021)]], "")</f>
        <v/>
      </c>
      <c r="BP105" s="73"/>
      <c r="BS105" s="59"/>
      <c r="BT105" s="197" t="str">
        <f>IFERROR(Table6[[#This Row],[Redbook WAC price per tablet/capsule (Jul 2021)]]/Table6[[#This Row],[Redbook package strength (mg) (Jul 2021)]], "")</f>
        <v/>
      </c>
      <c r="BV105" s="73"/>
      <c r="BY105" s="59"/>
      <c r="BZ105" s="59" t="str">
        <f>IFERROR(Table6[[#This Row],[Redbook WAC price per tablet/capsule (Jan 2022)]]/Table6[[#This Row],[Redbook package strength (mg) (Jan 2022)]], "")</f>
        <v/>
      </c>
      <c r="CA105" s="57"/>
      <c r="CE105" s="59"/>
      <c r="CF105" s="59" t="str">
        <f>IFERROR(Table6[[#This Row],[Redbook WAC price per tablet/capsule (Jul 2022)]]/Table6[[#This Row],[Redbook package strength (mg) (Jul 2022)]], "")</f>
        <v/>
      </c>
      <c r="CG105" s="74"/>
      <c r="CK105" s="59"/>
      <c r="CL105" s="59" t="str">
        <f>IFERROR(Table6[[#This Row],[Redbook WAC price per tablet/capsule (Jan 2023)]]/Table6[[#This Row],[Redbook package strength (mg) (Jan 2023)]], "")</f>
        <v/>
      </c>
    </row>
    <row r="106" spans="1:92" x14ac:dyDescent="0.3">
      <c r="A106" t="s">
        <v>2744</v>
      </c>
      <c r="B106" t="s">
        <v>2745</v>
      </c>
      <c r="C106" t="s">
        <v>2746</v>
      </c>
      <c r="D106">
        <v>0.15</v>
      </c>
      <c r="E106">
        <v>870.6875</v>
      </c>
      <c r="F106" s="366">
        <f>IFERROR(Table6[[#This Row],[Redbook WAC price per tablet/capsule (Jan 2016)]]/Table6[[#This Row],[Redbook package strength (mg) (Jan 2016)]], "")</f>
        <v>5804.5833333333339</v>
      </c>
      <c r="G106" s="74" t="s">
        <v>1741</v>
      </c>
      <c r="H106" t="s">
        <v>2745</v>
      </c>
      <c r="I106" t="s">
        <v>2746</v>
      </c>
      <c r="J106">
        <v>0.15</v>
      </c>
      <c r="K106">
        <v>870.6875</v>
      </c>
      <c r="L106">
        <f>IFERROR(Table6[[#This Row],[Redbook WAC price per tablet/capsule (Jul 2016)]]/Table6[[#This Row],[Redbook package strength (mg) (Jul 2016)]], "")</f>
        <v>5804.5833333333339</v>
      </c>
      <c r="M106" s="74" t="s">
        <v>1741</v>
      </c>
      <c r="R106" t="str">
        <f>IFERROR(Table6[[#This Row],[Redbook WAC price per tablet/capsule (Jan 2017)]]/Table6[[#This Row],[Redbook package strength (mg) (Jan 2017)]], "")</f>
        <v/>
      </c>
      <c r="S106" s="74"/>
      <c r="W106" s="285"/>
      <c r="X106" s="285" t="str">
        <f>IFERROR(Table6[[#This Row],[Redbook WAC price per tablet/capsule (Jul 2017)]]/Table6[[#This Row],[Redbook package strength (mg) (Jul 2017)]], "")</f>
        <v/>
      </c>
      <c r="Y106" s="298"/>
      <c r="Z106" s="388"/>
      <c r="AA106" s="417"/>
      <c r="AB106" s="418"/>
      <c r="AC106" s="419"/>
      <c r="AD106" s="419" t="e">
        <f>Table6[[#This Row],[Redbook WAC price per tablet/capsule (Jan 2018)]]/Table6[[#This Row],[Redbook package strength (mg) (Jan 2018)]]</f>
        <v>#DIV/0!</v>
      </c>
      <c r="AE106" s="404"/>
      <c r="AF106" s="405"/>
      <c r="AG106" s="417"/>
      <c r="AH106" s="420"/>
      <c r="AI106" s="421"/>
      <c r="AJ106" s="421" t="e">
        <f>Table6[[#This Row],[Redbook WAC price per tablet/capsule (Jul 2018)]]/Table6[[#This Row],[Redbook package strength (mg) (Jul 2018)]]</f>
        <v>#DIV/0!</v>
      </c>
      <c r="AK106" s="404"/>
      <c r="AL106" s="408"/>
      <c r="AO106" s="59"/>
      <c r="AP106" s="59" t="str">
        <f>IFERROR(Table6[[#This Row],[Redbook WAC price per tablet/capsule (Jan 2019)]]/Table6[[#This Row],[Redbook package strength (mg) (Jan 2019)]], "")</f>
        <v/>
      </c>
      <c r="AQ106" s="57"/>
      <c r="AR106" s="73"/>
      <c r="AU106" s="59"/>
      <c r="AV106" s="59" t="str">
        <f>IFERROR(Table6[[#This Row],[Redbook WAC price per tablet/capsule (Jul 2019)]]/Table6[[#This Row],[Redbook package strength (mg) (Jul 2019)]], "")</f>
        <v/>
      </c>
      <c r="AW106" s="57"/>
      <c r="BA106" s="59"/>
      <c r="BB106" s="59" t="str">
        <f>IFERROR(Table6[[#This Row],[Redbook WAC price per tablet/capsule (Jan 2020)]]/Table6[[#This Row],[Redbook package strength (mg) (Jan 2020)]], "")</f>
        <v/>
      </c>
      <c r="BD106" s="73"/>
      <c r="BG106" s="59"/>
      <c r="BH106" s="59" t="str">
        <f>IFERROR(Table6[[#This Row],[Redbook WAC price per tablet/capsule (Jul 2020)]]/Table6[[#This Row],[Redbook package strength (mg) (Jul 2020)]], "")</f>
        <v/>
      </c>
      <c r="BI106" s="57"/>
      <c r="BM106" s="59"/>
      <c r="BN106" s="59" t="str">
        <f>IFERROR(Table6[[#This Row],[Redbook WAC price per tablet/capsule (Jan 2021)]]/Table6[[#This Row],[Redbook package strength (mg) (Jan 2021)]], "")</f>
        <v/>
      </c>
      <c r="BP106" s="73"/>
      <c r="BS106" s="59"/>
      <c r="BT106" s="197" t="str">
        <f>IFERROR(Table6[[#This Row],[Redbook WAC price per tablet/capsule (Jul 2021)]]/Table6[[#This Row],[Redbook package strength (mg) (Jul 2021)]], "")</f>
        <v/>
      </c>
      <c r="BV106" s="73"/>
      <c r="BY106" s="59"/>
      <c r="BZ106" s="59" t="str">
        <f>IFERROR(Table6[[#This Row],[Redbook WAC price per tablet/capsule (Jan 2022)]]/Table6[[#This Row],[Redbook package strength (mg) (Jan 2022)]], "")</f>
        <v/>
      </c>
      <c r="CA106" s="57"/>
      <c r="CE106" s="59"/>
      <c r="CF106" s="59" t="str">
        <f>IFERROR(Table6[[#This Row],[Redbook WAC price per tablet/capsule (Jul 2022)]]/Table6[[#This Row],[Redbook package strength (mg) (Jul 2022)]], "")</f>
        <v/>
      </c>
      <c r="CG106" s="74"/>
      <c r="CK106" s="59"/>
      <c r="CL106" s="59" t="str">
        <f>IFERROR(Table6[[#This Row],[Redbook WAC price per tablet/capsule (Jan 2023)]]/Table6[[#This Row],[Redbook package strength (mg) (Jan 2023)]], "")</f>
        <v/>
      </c>
    </row>
    <row r="107" spans="1:92" x14ac:dyDescent="0.3">
      <c r="A107" t="s">
        <v>2753</v>
      </c>
      <c r="F107" s="366" t="str">
        <f>IFERROR(Table6[[#This Row],[Redbook WAC price per tablet/capsule (Jan 2016)]]/Table6[[#This Row],[Redbook package strength (mg) (Jan 2016)]], "")</f>
        <v/>
      </c>
      <c r="G107" s="74"/>
      <c r="L107" t="str">
        <f>IFERROR(Table6[[#This Row],[Redbook WAC price per tablet/capsule (Jul 2016)]]/Table6[[#This Row],[Redbook package strength (mg) (Jul 2016)]], "")</f>
        <v/>
      </c>
      <c r="M107" s="74"/>
      <c r="R107" t="str">
        <f>IFERROR(Table6[[#This Row],[Redbook WAC price per tablet/capsule (Jan 2017)]]/Table6[[#This Row],[Redbook package strength (mg) (Jan 2017)]], "")</f>
        <v/>
      </c>
      <c r="S107" s="74"/>
      <c r="W107" s="285"/>
      <c r="X107" s="285" t="str">
        <f>IFERROR(Table6[[#This Row],[Redbook WAC price per tablet/capsule (Jul 2017)]]/Table6[[#This Row],[Redbook package strength (mg) (Jul 2017)]], "")</f>
        <v/>
      </c>
      <c r="Y107" s="298"/>
      <c r="Z107" s="388"/>
      <c r="AA107" s="417"/>
      <c r="AB107" s="418"/>
      <c r="AC107" s="419"/>
      <c r="AD107" s="419" t="e">
        <f>Table6[[#This Row],[Redbook WAC price per tablet/capsule (Jan 2018)]]/Table6[[#This Row],[Redbook package strength (mg) (Jan 2018)]]</f>
        <v>#DIV/0!</v>
      </c>
      <c r="AE107" s="404"/>
      <c r="AF107" s="405"/>
      <c r="AG107" s="417"/>
      <c r="AH107" s="420"/>
      <c r="AI107" s="421"/>
      <c r="AJ107" s="421" t="e">
        <f>Table6[[#This Row],[Redbook WAC price per tablet/capsule (Jul 2018)]]/Table6[[#This Row],[Redbook package strength (mg) (Jul 2018)]]</f>
        <v>#DIV/0!</v>
      </c>
      <c r="AK107" s="404"/>
      <c r="AL107" s="408"/>
      <c r="AO107" s="59"/>
      <c r="AP107" s="59" t="str">
        <f>IFERROR(Table6[[#This Row],[Redbook WAC price per tablet/capsule (Jan 2019)]]/Table6[[#This Row],[Redbook package strength (mg) (Jan 2019)]], "")</f>
        <v/>
      </c>
      <c r="AQ107" s="57"/>
      <c r="AR107" s="73"/>
      <c r="AU107" s="59"/>
      <c r="AV107" s="59" t="str">
        <f>IFERROR(Table6[[#This Row],[Redbook WAC price per tablet/capsule (Jul 2019)]]/Table6[[#This Row],[Redbook package strength (mg) (Jul 2019)]], "")</f>
        <v/>
      </c>
      <c r="AW107" s="57"/>
      <c r="BA107" s="59"/>
      <c r="BB107" s="59" t="str">
        <f>IFERROR(Table6[[#This Row],[Redbook WAC price per tablet/capsule (Jan 2020)]]/Table6[[#This Row],[Redbook package strength (mg) (Jan 2020)]], "")</f>
        <v/>
      </c>
      <c r="BD107" s="73"/>
      <c r="BG107" s="59"/>
      <c r="BH107" s="59" t="str">
        <f>IFERROR(Table6[[#This Row],[Redbook WAC price per tablet/capsule (Jul 2020)]]/Table6[[#This Row],[Redbook package strength (mg) (Jul 2020)]], "")</f>
        <v/>
      </c>
      <c r="BI107" s="57"/>
      <c r="BJ107" t="s">
        <v>2754</v>
      </c>
      <c r="BK107" t="s">
        <v>2755</v>
      </c>
      <c r="BL107">
        <v>200</v>
      </c>
      <c r="BM107" s="59">
        <v>64.583330000000004</v>
      </c>
      <c r="BN107" s="59">
        <f>IFERROR(Table6[[#This Row],[Redbook WAC price per tablet/capsule (Jan 2021)]]/Table6[[#This Row],[Redbook package strength (mg) (Jan 2021)]], "")</f>
        <v>0.32291665000000003</v>
      </c>
      <c r="BO107" t="s">
        <v>1741</v>
      </c>
      <c r="BP107" s="73" t="s">
        <v>2754</v>
      </c>
      <c r="BQ107" t="s">
        <v>2755</v>
      </c>
      <c r="BR107">
        <v>200</v>
      </c>
      <c r="BS107" s="59">
        <v>69.104100000000003</v>
      </c>
      <c r="BT107" s="197">
        <f>IFERROR(Table6[[#This Row],[Redbook WAC price per tablet/capsule (Jul 2021)]]/Table6[[#This Row],[Redbook package strength (mg) (Jul 2021)]], "")</f>
        <v>0.34552050000000001</v>
      </c>
      <c r="BU107" t="s">
        <v>1741</v>
      </c>
      <c r="BV107" s="73" t="s">
        <v>2754</v>
      </c>
      <c r="BW107" t="s">
        <v>2755</v>
      </c>
      <c r="BX107">
        <v>200</v>
      </c>
      <c r="BY107" s="59">
        <v>69.103999999999999</v>
      </c>
      <c r="BZ107" s="59">
        <f>IFERROR(Table6[[#This Row],[Redbook WAC price per tablet/capsule (Jan 2022)]]/Table6[[#This Row],[Redbook package strength (mg) (Jan 2022)]], "")</f>
        <v>0.34551999999999999</v>
      </c>
      <c r="CA107" s="57" t="s">
        <v>1741</v>
      </c>
      <c r="CE107" s="59"/>
      <c r="CF107" s="59" t="str">
        <f>IFERROR(Table6[[#This Row],[Redbook WAC price per tablet/capsule (Jul 2022)]]/Table6[[#This Row],[Redbook package strength (mg) (Jul 2022)]], "")</f>
        <v/>
      </c>
      <c r="CG107" s="74"/>
      <c r="CK107" s="59"/>
      <c r="CL107" s="59" t="str">
        <f>IFERROR(Table6[[#This Row],[Redbook WAC price per tablet/capsule (Jan 2023)]]/Table6[[#This Row],[Redbook package strength (mg) (Jan 2023)]], "")</f>
        <v/>
      </c>
    </row>
    <row r="108" spans="1:92" x14ac:dyDescent="0.3">
      <c r="A108" t="s">
        <v>2758</v>
      </c>
      <c r="F108" s="366" t="str">
        <f>IFERROR(Table6[[#This Row],[Redbook WAC price per tablet/capsule (Jan 2016)]]/Table6[[#This Row],[Redbook package strength (mg) (Jan 2016)]], "")</f>
        <v/>
      </c>
      <c r="G108" s="74"/>
      <c r="L108" t="str">
        <f>IFERROR(Table6[[#This Row],[Redbook WAC price per tablet/capsule (Jul 2016)]]/Table6[[#This Row],[Redbook package strength (mg) (Jul 2016)]], "")</f>
        <v/>
      </c>
      <c r="M108" s="74"/>
      <c r="R108" t="str">
        <f>IFERROR(Table6[[#This Row],[Redbook WAC price per tablet/capsule (Jan 2017)]]/Table6[[#This Row],[Redbook package strength (mg) (Jan 2017)]], "")</f>
        <v/>
      </c>
      <c r="S108" s="74"/>
      <c r="W108" s="285"/>
      <c r="X108" s="285" t="str">
        <f>IFERROR(Table6[[#This Row],[Redbook WAC price per tablet/capsule (Jul 2017)]]/Table6[[#This Row],[Redbook package strength (mg) (Jul 2017)]], "")</f>
        <v/>
      </c>
      <c r="Y108" s="298"/>
      <c r="Z108" s="388"/>
      <c r="AA108" s="417"/>
      <c r="AB108" s="418"/>
      <c r="AC108" s="419"/>
      <c r="AD108" s="419" t="e">
        <f>Table6[[#This Row],[Redbook WAC price per tablet/capsule (Jan 2018)]]/Table6[[#This Row],[Redbook package strength (mg) (Jan 2018)]]</f>
        <v>#DIV/0!</v>
      </c>
      <c r="AE108" s="404"/>
      <c r="AF108" s="405"/>
      <c r="AG108" s="417"/>
      <c r="AH108" s="420"/>
      <c r="AI108" s="421"/>
      <c r="AJ108" s="421" t="e">
        <f>Table6[[#This Row],[Redbook WAC price per tablet/capsule (Jul 2018)]]/Table6[[#This Row],[Redbook package strength (mg) (Jul 2018)]]</f>
        <v>#DIV/0!</v>
      </c>
      <c r="AK108" s="404"/>
      <c r="AL108" s="408"/>
      <c r="AO108" s="59"/>
      <c r="AP108" s="59" t="str">
        <f>IFERROR(Table6[[#This Row],[Redbook WAC price per tablet/capsule (Jan 2019)]]/Table6[[#This Row],[Redbook package strength (mg) (Jan 2019)]], "")</f>
        <v/>
      </c>
      <c r="AQ108" s="57"/>
      <c r="AR108" s="73"/>
      <c r="AU108" s="59"/>
      <c r="AV108" s="59" t="str">
        <f>IFERROR(Table6[[#This Row],[Redbook WAC price per tablet/capsule (Jul 2019)]]/Table6[[#This Row],[Redbook package strength (mg) (Jul 2019)]], "")</f>
        <v/>
      </c>
      <c r="AW108" s="57"/>
      <c r="BA108" s="59"/>
      <c r="BB108" s="59" t="str">
        <f>IFERROR(Table6[[#This Row],[Redbook WAC price per tablet/capsule (Jan 2020)]]/Table6[[#This Row],[Redbook package strength (mg) (Jan 2020)]], "")</f>
        <v/>
      </c>
      <c r="BD108" s="73"/>
      <c r="BG108" s="59"/>
      <c r="BH108" s="59" t="str">
        <f>IFERROR(Table6[[#This Row],[Redbook WAC price per tablet/capsule (Jul 2020)]]/Table6[[#This Row],[Redbook package strength (mg) (Jul 2020)]], "")</f>
        <v/>
      </c>
      <c r="BI108" s="57"/>
      <c r="BJ108" s="343" t="s">
        <v>2760</v>
      </c>
      <c r="BK108" t="s">
        <v>2759</v>
      </c>
      <c r="BL108">
        <v>300</v>
      </c>
      <c r="BM108" s="59">
        <v>1511.2934499999999</v>
      </c>
      <c r="BN108" s="59">
        <f>IFERROR(Table6[[#This Row],[Redbook WAC price per tablet/capsule (Jan 2021)]]/Table6[[#This Row],[Redbook package strength (mg) (Jan 2021)]], "")</f>
        <v>5.0376448333333332</v>
      </c>
      <c r="BO108" t="s">
        <v>1741</v>
      </c>
      <c r="BP108" s="423" t="s">
        <v>2761</v>
      </c>
      <c r="BQ108" t="s">
        <v>2759</v>
      </c>
      <c r="BR108">
        <v>300</v>
      </c>
      <c r="BS108" s="59">
        <v>1511.29405</v>
      </c>
      <c r="BT108" s="197">
        <f>IFERROR(Table6[[#This Row],[Redbook WAC price per tablet/capsule (Jul 2021)]]/Table6[[#This Row],[Redbook package strength (mg) (Jul 2021)]], "")</f>
        <v>5.0376468333333335</v>
      </c>
      <c r="BU108" t="s">
        <v>1741</v>
      </c>
      <c r="BV108" s="73" t="s">
        <v>2761</v>
      </c>
      <c r="BW108" t="s">
        <v>2759</v>
      </c>
      <c r="BX108">
        <v>300</v>
      </c>
      <c r="BY108" s="59">
        <v>1511.29405</v>
      </c>
      <c r="BZ108" s="59">
        <f>IFERROR(Table6[[#This Row],[Redbook WAC price per tablet/capsule (Jan 2022)]]/Table6[[#This Row],[Redbook package strength (mg) (Jan 2022)]], "")</f>
        <v>5.0376468333333335</v>
      </c>
      <c r="CA108" s="57" t="s">
        <v>1741</v>
      </c>
      <c r="CE108" s="59"/>
      <c r="CF108" s="59" t="str">
        <f>IFERROR(Table6[[#This Row],[Redbook WAC price per tablet/capsule (Jul 2022)]]/Table6[[#This Row],[Redbook package strength (mg) (Jul 2022)]], "")</f>
        <v/>
      </c>
      <c r="CG108" s="74"/>
      <c r="CK108" s="59"/>
      <c r="CL108" s="59" t="str">
        <f>IFERROR(Table6[[#This Row],[Redbook WAC price per tablet/capsule (Jan 2023)]]/Table6[[#This Row],[Redbook package strength (mg) (Jan 2023)]], "")</f>
        <v/>
      </c>
      <c r="CN108" t="s">
        <v>2762</v>
      </c>
    </row>
    <row r="109" spans="1:92" x14ac:dyDescent="0.3">
      <c r="A109" t="s">
        <v>2767</v>
      </c>
      <c r="F109" s="366" t="str">
        <f>IFERROR(Table6[[#This Row],[Redbook WAC price per tablet/capsule (Jan 2016)]]/Table6[[#This Row],[Redbook package strength (mg) (Jan 2016)]], "")</f>
        <v/>
      </c>
      <c r="G109" s="74"/>
      <c r="L109" t="str">
        <f>IFERROR(Table6[[#This Row],[Redbook WAC price per tablet/capsule (Jul 2016)]]/Table6[[#This Row],[Redbook package strength (mg) (Jul 2016)]], "")</f>
        <v/>
      </c>
      <c r="M109" s="74"/>
      <c r="R109" t="str">
        <f>IFERROR(Table6[[#This Row],[Redbook WAC price per tablet/capsule (Jan 2017)]]/Table6[[#This Row],[Redbook package strength (mg) (Jan 2017)]], "")</f>
        <v/>
      </c>
      <c r="S109" s="74"/>
      <c r="W109" s="285"/>
      <c r="X109" s="285" t="str">
        <f>IFERROR(Table6[[#This Row],[Redbook WAC price per tablet/capsule (Jul 2017)]]/Table6[[#This Row],[Redbook package strength (mg) (Jul 2017)]], "")</f>
        <v/>
      </c>
      <c r="Y109" s="298"/>
      <c r="Z109" s="388"/>
      <c r="AA109" s="417"/>
      <c r="AB109" s="418"/>
      <c r="AC109" s="419"/>
      <c r="AD109" s="419" t="e">
        <f>Table6[[#This Row],[Redbook WAC price per tablet/capsule (Jan 2018)]]/Table6[[#This Row],[Redbook package strength (mg) (Jan 2018)]]</f>
        <v>#DIV/0!</v>
      </c>
      <c r="AE109" s="404"/>
      <c r="AF109" s="405"/>
      <c r="AG109" s="417"/>
      <c r="AH109" s="420"/>
      <c r="AI109" s="421"/>
      <c r="AJ109" s="421" t="e">
        <f>Table6[[#This Row],[Redbook WAC price per tablet/capsule (Jul 2018)]]/Table6[[#This Row],[Redbook package strength (mg) (Jul 2018)]]</f>
        <v>#DIV/0!</v>
      </c>
      <c r="AK109" s="404"/>
      <c r="AL109" s="408"/>
      <c r="AO109" s="59"/>
      <c r="AP109" s="59" t="str">
        <f>IFERROR(Table6[[#This Row],[Redbook WAC price per tablet/capsule (Jan 2019)]]/Table6[[#This Row],[Redbook package strength (mg) (Jan 2019)]], "")</f>
        <v/>
      </c>
      <c r="AQ109" s="57"/>
      <c r="AR109" s="73"/>
      <c r="AU109" s="59"/>
      <c r="AV109" s="59" t="str">
        <f>IFERROR(Table6[[#This Row],[Redbook WAC price per tablet/capsule (Jul 2019)]]/Table6[[#This Row],[Redbook package strength (mg) (Jul 2019)]], "")</f>
        <v/>
      </c>
      <c r="AW109" s="57"/>
      <c r="BA109" s="59"/>
      <c r="BB109" s="59" t="str">
        <f>IFERROR(Table6[[#This Row],[Redbook WAC price per tablet/capsule (Jan 2020)]]/Table6[[#This Row],[Redbook package strength (mg) (Jan 2020)]], "")</f>
        <v/>
      </c>
      <c r="BD109" s="73"/>
      <c r="BG109" s="59"/>
      <c r="BH109" s="59" t="str">
        <f>IFERROR(Table6[[#This Row],[Redbook WAC price per tablet/capsule (Jul 2020)]]/Table6[[#This Row],[Redbook package strength (mg) (Jul 2020)]], "")</f>
        <v/>
      </c>
      <c r="BI109" s="57"/>
      <c r="BJ109" s="424" t="s">
        <v>2769</v>
      </c>
      <c r="BK109" t="s">
        <v>2768</v>
      </c>
      <c r="BL109">
        <v>250</v>
      </c>
      <c r="BM109" s="59">
        <v>457.01249999999999</v>
      </c>
      <c r="BN109" s="59">
        <f>IFERROR(Table6[[#This Row],[Redbook WAC price per tablet/capsule (Jan 2021)]]/Table6[[#This Row],[Redbook package strength (mg) (Jan 2021)]], "")</f>
        <v>1.82805</v>
      </c>
      <c r="BO109" t="s">
        <v>1741</v>
      </c>
      <c r="BP109" s="186" t="s">
        <v>2769</v>
      </c>
      <c r="BQ109" t="s">
        <v>2768</v>
      </c>
      <c r="BR109">
        <v>250</v>
      </c>
      <c r="BS109" s="59">
        <v>473</v>
      </c>
      <c r="BT109" s="197">
        <f>IFERROR(Table6[[#This Row],[Redbook WAC price per tablet/capsule (Jul 2021)]]/Table6[[#This Row],[Redbook package strength (mg) (Jul 2021)]], "")</f>
        <v>1.8919999999999999</v>
      </c>
      <c r="BU109" t="s">
        <v>1741</v>
      </c>
      <c r="BV109" s="425" t="s">
        <v>2769</v>
      </c>
      <c r="BW109" t="s">
        <v>2768</v>
      </c>
      <c r="BX109">
        <v>250</v>
      </c>
      <c r="BY109" s="59">
        <v>473</v>
      </c>
      <c r="BZ109" s="59">
        <f>IFERROR(Table6[[#This Row],[Redbook WAC price per tablet/capsule (Jan 2022)]]/Table6[[#This Row],[Redbook package strength (mg) (Jan 2022)]], "")</f>
        <v>1.8919999999999999</v>
      </c>
      <c r="CA109" s="57" t="s">
        <v>1741</v>
      </c>
      <c r="CB109" s="143" t="s">
        <v>2770</v>
      </c>
      <c r="CC109" t="s">
        <v>2768</v>
      </c>
      <c r="CD109">
        <v>250</v>
      </c>
      <c r="CE109" s="59">
        <v>501.38</v>
      </c>
      <c r="CF109" s="59">
        <f>IFERROR(Table6[[#This Row],[Redbook WAC price per tablet/capsule (Jul 2022)]]/Table6[[#This Row],[Redbook package strength (mg) (Jul 2022)]], "")</f>
        <v>2.0055200000000002</v>
      </c>
      <c r="CG109" s="74" t="s">
        <v>1741</v>
      </c>
      <c r="CK109" s="59"/>
      <c r="CL109" s="59" t="str">
        <f>IFERROR(Table6[[#This Row],[Redbook WAC price per tablet/capsule (Jan 2023)]]/Table6[[#This Row],[Redbook package strength (mg) (Jan 2023)]], "")</f>
        <v/>
      </c>
      <c r="CN109" t="s">
        <v>2771</v>
      </c>
    </row>
    <row r="110" spans="1:92" x14ac:dyDescent="0.3">
      <c r="A110" t="s">
        <v>2772</v>
      </c>
      <c r="F110" s="366" t="str">
        <f>IFERROR(Table6[[#This Row],[Redbook WAC price per tablet/capsule (Jan 2016)]]/Table6[[#This Row],[Redbook package strength (mg) (Jan 2016)]], "")</f>
        <v/>
      </c>
      <c r="G110" s="74"/>
      <c r="L110" t="str">
        <f>IFERROR(Table6[[#This Row],[Redbook WAC price per tablet/capsule (Jul 2016)]]/Table6[[#This Row],[Redbook package strength (mg) (Jul 2016)]], "")</f>
        <v/>
      </c>
      <c r="M110" s="74"/>
      <c r="R110" t="str">
        <f>IFERROR(Table6[[#This Row],[Redbook WAC price per tablet/capsule (Jan 2017)]]/Table6[[#This Row],[Redbook package strength (mg) (Jan 2017)]], "")</f>
        <v/>
      </c>
      <c r="S110" s="74"/>
      <c r="W110" s="285"/>
      <c r="X110" s="285" t="str">
        <f>IFERROR(Table6[[#This Row],[Redbook WAC price per tablet/capsule (Jul 2017)]]/Table6[[#This Row],[Redbook package strength (mg) (Jul 2017)]], "")</f>
        <v/>
      </c>
      <c r="Y110" s="298"/>
      <c r="Z110" s="388"/>
      <c r="AA110" s="417"/>
      <c r="AB110" s="418"/>
      <c r="AC110" s="419"/>
      <c r="AD110" s="419" t="e">
        <f>Table6[[#This Row],[Redbook WAC price per tablet/capsule (Jan 2018)]]/Table6[[#This Row],[Redbook package strength (mg) (Jan 2018)]]</f>
        <v>#DIV/0!</v>
      </c>
      <c r="AE110" s="404"/>
      <c r="AF110" s="405"/>
      <c r="AG110" s="417"/>
      <c r="AH110" s="420"/>
      <c r="AI110" s="421"/>
      <c r="AJ110" s="421" t="e">
        <f>Table6[[#This Row],[Redbook WAC price per tablet/capsule (Jul 2018)]]/Table6[[#This Row],[Redbook package strength (mg) (Jul 2018)]]</f>
        <v>#DIV/0!</v>
      </c>
      <c r="AK110" s="404"/>
      <c r="AL110" s="408"/>
      <c r="AO110" s="59"/>
      <c r="AP110" s="59" t="str">
        <f>IFERROR(Table6[[#This Row],[Redbook WAC price per tablet/capsule (Jan 2019)]]/Table6[[#This Row],[Redbook package strength (mg) (Jan 2019)]], "")</f>
        <v/>
      </c>
      <c r="AQ110" s="57"/>
      <c r="AR110" s="73"/>
      <c r="AU110" s="59"/>
      <c r="AV110" s="59" t="str">
        <f>IFERROR(Table6[[#This Row],[Redbook WAC price per tablet/capsule (Jul 2019)]]/Table6[[#This Row],[Redbook package strength (mg) (Jul 2019)]], "")</f>
        <v/>
      </c>
      <c r="AW110" s="57"/>
      <c r="BA110" s="59"/>
      <c r="BB110" s="59" t="str">
        <f>IFERROR(Table6[[#This Row],[Redbook WAC price per tablet/capsule (Jan 2020)]]/Table6[[#This Row],[Redbook package strength (mg) (Jan 2020)]], "")</f>
        <v/>
      </c>
      <c r="BD110" s="73"/>
      <c r="BG110" s="59"/>
      <c r="BH110" s="59" t="str">
        <f>IFERROR(Table6[[#This Row],[Redbook WAC price per tablet/capsule (Jul 2020)]]/Table6[[#This Row],[Redbook package strength (mg) (Jul 2020)]], "")</f>
        <v/>
      </c>
      <c r="BI110" s="57"/>
      <c r="BM110" s="59"/>
      <c r="BN110" s="59" t="str">
        <f>IFERROR(Table6[[#This Row],[Redbook WAC price per tablet/capsule (Jan 2021)]]/Table6[[#This Row],[Redbook package strength (mg) (Jan 2021)]], "")</f>
        <v/>
      </c>
      <c r="BP110" s="73" t="s">
        <v>2773</v>
      </c>
      <c r="BQ110" t="s">
        <v>2774</v>
      </c>
      <c r="BR110">
        <v>200</v>
      </c>
      <c r="BS110" s="59">
        <v>132.5</v>
      </c>
      <c r="BT110" s="197">
        <f>IFERROR(Table6[[#This Row],[Redbook WAC price per tablet/capsule (Jul 2021)]]/Table6[[#This Row],[Redbook package strength (mg) (Jul 2021)]], "")</f>
        <v>0.66249999999999998</v>
      </c>
      <c r="BU110" t="s">
        <v>1741</v>
      </c>
      <c r="BV110" s="73" t="s">
        <v>2773</v>
      </c>
      <c r="BW110" t="s">
        <v>2774</v>
      </c>
      <c r="BX110">
        <v>200</v>
      </c>
      <c r="BY110" s="59">
        <v>132.5</v>
      </c>
      <c r="BZ110" s="59">
        <f>IFERROR(Table6[[#This Row],[Redbook WAC price per tablet/capsule (Jan 2022)]]/Table6[[#This Row],[Redbook package strength (mg) (Jan 2022)]], "")</f>
        <v>0.66249999999999998</v>
      </c>
      <c r="CA110" s="57" t="s">
        <v>1741</v>
      </c>
      <c r="CE110" s="59"/>
      <c r="CF110" s="59" t="str">
        <f>IFERROR(Table6[[#This Row],[Redbook WAC price per tablet/capsule (Jul 2022)]]/Table6[[#This Row],[Redbook package strength (mg) (Jul 2022)]], "")</f>
        <v/>
      </c>
      <c r="CG110" s="74"/>
      <c r="CK110" s="59"/>
      <c r="CL110" s="59" t="str">
        <f>IFERROR(Table6[[#This Row],[Redbook WAC price per tablet/capsule (Jan 2023)]]/Table6[[#This Row],[Redbook package strength (mg) (Jan 2023)]], "")</f>
        <v/>
      </c>
    </row>
    <row r="111" spans="1:92" x14ac:dyDescent="0.3">
      <c r="A111" t="s">
        <v>2778</v>
      </c>
      <c r="F111" s="366" t="str">
        <f>IFERROR(Table6[[#This Row],[Redbook WAC price per tablet/capsule (Jan 2016)]]/Table6[[#This Row],[Redbook package strength (mg) (Jan 2016)]], "")</f>
        <v/>
      </c>
      <c r="G111" s="74"/>
      <c r="L111" t="str">
        <f>IFERROR(Table6[[#This Row],[Redbook WAC price per tablet/capsule (Jul 2016)]]/Table6[[#This Row],[Redbook package strength (mg) (Jul 2016)]], "")</f>
        <v/>
      </c>
      <c r="M111" s="74"/>
      <c r="R111" t="str">
        <f>IFERROR(Table6[[#This Row],[Redbook WAC price per tablet/capsule (Jan 2017)]]/Table6[[#This Row],[Redbook package strength (mg) (Jan 2017)]], "")</f>
        <v/>
      </c>
      <c r="S111" s="74"/>
      <c r="W111" s="285"/>
      <c r="X111" s="285" t="str">
        <f>IFERROR(Table6[[#This Row],[Redbook WAC price per tablet/capsule (Jul 2017)]]/Table6[[#This Row],[Redbook package strength (mg) (Jul 2017)]], "")</f>
        <v/>
      </c>
      <c r="Y111" s="298"/>
      <c r="Z111" s="388"/>
      <c r="AA111" s="417"/>
      <c r="AB111" s="418"/>
      <c r="AC111" s="419"/>
      <c r="AD111" s="419" t="e">
        <f>Table6[[#This Row],[Redbook WAC price per tablet/capsule (Jan 2018)]]/Table6[[#This Row],[Redbook package strength (mg) (Jan 2018)]]</f>
        <v>#DIV/0!</v>
      </c>
      <c r="AE111" s="404"/>
      <c r="AF111" s="405"/>
      <c r="AG111" s="417"/>
      <c r="AH111" s="420"/>
      <c r="AI111" s="421"/>
      <c r="AJ111" s="421" t="e">
        <f>Table6[[#This Row],[Redbook WAC price per tablet/capsule (Jul 2018)]]/Table6[[#This Row],[Redbook package strength (mg) (Jul 2018)]]</f>
        <v>#DIV/0!</v>
      </c>
      <c r="AK111" s="404"/>
      <c r="AL111" s="408"/>
      <c r="AO111" s="59"/>
      <c r="AP111" s="59" t="str">
        <f>IFERROR(Table6[[#This Row],[Redbook WAC price per tablet/capsule (Jan 2019)]]/Table6[[#This Row],[Redbook package strength (mg) (Jan 2019)]], "")</f>
        <v/>
      </c>
      <c r="AQ111" s="57"/>
      <c r="AR111" s="73"/>
      <c r="AU111" s="59"/>
      <c r="AV111" s="59" t="str">
        <f>IFERROR(Table6[[#This Row],[Redbook WAC price per tablet/capsule (Jul 2019)]]/Table6[[#This Row],[Redbook package strength (mg) (Jul 2019)]], "")</f>
        <v/>
      </c>
      <c r="AW111" s="57"/>
      <c r="BA111" s="59"/>
      <c r="BB111" s="59" t="str">
        <f>IFERROR(Table6[[#This Row],[Redbook WAC price per tablet/capsule (Jan 2020)]]/Table6[[#This Row],[Redbook package strength (mg) (Jan 2020)]], "")</f>
        <v/>
      </c>
      <c r="BD111" s="73"/>
      <c r="BG111" s="59"/>
      <c r="BH111" s="59" t="str">
        <f>IFERROR(Table6[[#This Row],[Redbook WAC price per tablet/capsule (Jul 2020)]]/Table6[[#This Row],[Redbook package strength (mg) (Jul 2020)]], "")</f>
        <v/>
      </c>
      <c r="BI111" s="57"/>
      <c r="BM111" s="59"/>
      <c r="BN111" s="59" t="str">
        <f>IFERROR(Table6[[#This Row],[Redbook WAC price per tablet/capsule (Jan 2021)]]/Table6[[#This Row],[Redbook package strength (mg) (Jan 2021)]], "")</f>
        <v/>
      </c>
      <c r="BP111" s="73" t="s">
        <v>2780</v>
      </c>
      <c r="BQ111" t="s">
        <v>2779</v>
      </c>
      <c r="BR111">
        <v>25</v>
      </c>
      <c r="BS111" s="59">
        <v>189.02</v>
      </c>
      <c r="BT111" s="197">
        <f>IFERROR(Table6[[#This Row],[Redbook WAC price per tablet/capsule (Jul 2021)]]/Table6[[#This Row],[Redbook package strength (mg) (Jul 2021)]], "")</f>
        <v>7.5608000000000004</v>
      </c>
      <c r="BU111" t="s">
        <v>1741</v>
      </c>
      <c r="BV111" s="73" t="s">
        <v>2780</v>
      </c>
      <c r="BW111" t="s">
        <v>2779</v>
      </c>
      <c r="BX111">
        <v>25</v>
      </c>
      <c r="BY111" s="59">
        <v>196.58</v>
      </c>
      <c r="BZ111" s="59">
        <f>IFERROR(Table6[[#This Row],[Redbook WAC price per tablet/capsule (Jan 2022)]]/Table6[[#This Row],[Redbook package strength (mg) (Jan 2022)]], "")</f>
        <v>7.8632000000000009</v>
      </c>
      <c r="CA111" s="57"/>
      <c r="CE111" s="59"/>
      <c r="CF111" s="59" t="str">
        <f>IFERROR(Table6[[#This Row],[Redbook WAC price per tablet/capsule (Jul 2022)]]/Table6[[#This Row],[Redbook package strength (mg) (Jul 2022)]], "")</f>
        <v/>
      </c>
      <c r="CG111" s="74"/>
      <c r="CK111" s="59"/>
      <c r="CL111" s="59" t="str">
        <f>IFERROR(Table6[[#This Row],[Redbook WAC price per tablet/capsule (Jan 2023)]]/Table6[[#This Row],[Redbook package strength (mg) (Jan 2023)]], "")</f>
        <v/>
      </c>
    </row>
    <row r="112" spans="1:92" x14ac:dyDescent="0.3">
      <c r="A112" t="s">
        <v>2781</v>
      </c>
      <c r="F112" s="366" t="str">
        <f>IFERROR(Table6[[#This Row],[Redbook WAC price per tablet/capsule (Jan 2016)]]/Table6[[#This Row],[Redbook package strength (mg) (Jan 2016)]], "")</f>
        <v/>
      </c>
      <c r="G112" s="74"/>
      <c r="L112" t="str">
        <f>IFERROR(Table6[[#This Row],[Redbook WAC price per tablet/capsule (Jul 2016)]]/Table6[[#This Row],[Redbook package strength (mg) (Jul 2016)]], "")</f>
        <v/>
      </c>
      <c r="M112" s="74"/>
      <c r="R112" t="str">
        <f>IFERROR(Table6[[#This Row],[Redbook WAC price per tablet/capsule (Jan 2017)]]/Table6[[#This Row],[Redbook package strength (mg) (Jan 2017)]], "")</f>
        <v/>
      </c>
      <c r="S112" s="74"/>
      <c r="W112" s="285"/>
      <c r="X112" s="285" t="str">
        <f>IFERROR(Table6[[#This Row],[Redbook WAC price per tablet/capsule (Jul 2017)]]/Table6[[#This Row],[Redbook package strength (mg) (Jul 2017)]], "")</f>
        <v/>
      </c>
      <c r="Y112" s="298"/>
      <c r="Z112" s="388"/>
      <c r="AA112" s="417"/>
      <c r="AB112" s="418"/>
      <c r="AC112" s="419"/>
      <c r="AD112" s="419" t="e">
        <f>Table6[[#This Row],[Redbook WAC price per tablet/capsule (Jan 2018)]]/Table6[[#This Row],[Redbook package strength (mg) (Jan 2018)]]</f>
        <v>#DIV/0!</v>
      </c>
      <c r="AE112" s="404"/>
      <c r="AF112" s="405"/>
      <c r="AG112" s="417"/>
      <c r="AH112" s="420"/>
      <c r="AI112" s="421"/>
      <c r="AJ112" s="421" t="e">
        <f>Table6[[#This Row],[Redbook WAC price per tablet/capsule (Jul 2018)]]/Table6[[#This Row],[Redbook package strength (mg) (Jul 2018)]]</f>
        <v>#DIV/0!</v>
      </c>
      <c r="AK112" s="404"/>
      <c r="AL112" s="408"/>
      <c r="AO112" s="59"/>
      <c r="AP112" s="59" t="str">
        <f>IFERROR(Table6[[#This Row],[Redbook WAC price per tablet/capsule (Jan 2019)]]/Table6[[#This Row],[Redbook package strength (mg) (Jan 2019)]], "")</f>
        <v/>
      </c>
      <c r="AQ112" s="57"/>
      <c r="AR112" s="73"/>
      <c r="AU112" s="59"/>
      <c r="AV112" s="59" t="str">
        <f>IFERROR(Table6[[#This Row],[Redbook WAC price per tablet/capsule (Jul 2019)]]/Table6[[#This Row],[Redbook package strength (mg) (Jul 2019)]], "")</f>
        <v/>
      </c>
      <c r="AW112" s="57"/>
      <c r="BA112" s="59"/>
      <c r="BB112" s="59" t="str">
        <f>IFERROR(Table6[[#This Row],[Redbook WAC price per tablet/capsule (Jan 2020)]]/Table6[[#This Row],[Redbook package strength (mg) (Jan 2020)]], "")</f>
        <v/>
      </c>
      <c r="BD112" s="73"/>
      <c r="BG112" s="59"/>
      <c r="BH112" s="59" t="str">
        <f>IFERROR(Table6[[#This Row],[Redbook WAC price per tablet/capsule (Jul 2020)]]/Table6[[#This Row],[Redbook package strength (mg) (Jul 2020)]], "")</f>
        <v/>
      </c>
      <c r="BI112" s="57"/>
      <c r="BM112" s="59"/>
      <c r="BN112" s="59" t="str">
        <f>IFERROR(Table6[[#This Row],[Redbook WAC price per tablet/capsule (Jan 2021)]]/Table6[[#This Row],[Redbook package strength (mg) (Jan 2021)]], "")</f>
        <v/>
      </c>
      <c r="BP112" s="73" t="s">
        <v>2783</v>
      </c>
      <c r="BQ112" t="s">
        <v>2782</v>
      </c>
      <c r="BR112">
        <v>10</v>
      </c>
      <c r="BS112" s="59">
        <v>499.19</v>
      </c>
      <c r="BT112" s="197">
        <f>IFERROR(Table6[[#This Row],[Redbook WAC price per tablet/capsule (Jul 2021)]]/Table6[[#This Row],[Redbook package strength (mg) (Jul 2021)]], "")</f>
        <v>49.918999999999997</v>
      </c>
      <c r="BU112" t="s">
        <v>1741</v>
      </c>
      <c r="BV112" s="73" t="s">
        <v>2783</v>
      </c>
      <c r="BW112" t="s">
        <v>2782</v>
      </c>
      <c r="BX112">
        <v>10</v>
      </c>
      <c r="BY112" s="59">
        <v>499.19</v>
      </c>
      <c r="BZ112" s="59">
        <f>IFERROR(Table6[[#This Row],[Redbook WAC price per tablet/capsule (Jan 2022)]]/Table6[[#This Row],[Redbook package strength (mg) (Jan 2022)]], "")</f>
        <v>49.918999999999997</v>
      </c>
      <c r="CA112" s="57" t="s">
        <v>1741</v>
      </c>
      <c r="CE112" s="59"/>
      <c r="CF112" s="59" t="str">
        <f>IFERROR(Table6[[#This Row],[Redbook WAC price per tablet/capsule (Jul 2022)]]/Table6[[#This Row],[Redbook package strength (mg) (Jul 2022)]], "")</f>
        <v/>
      </c>
      <c r="CG112" s="74"/>
      <c r="CK112" s="59"/>
      <c r="CL112" s="59" t="str">
        <f>IFERROR(Table6[[#This Row],[Redbook WAC price per tablet/capsule (Jan 2023)]]/Table6[[#This Row],[Redbook package strength (mg) (Jan 2023)]], "")</f>
        <v/>
      </c>
    </row>
    <row r="113" spans="1:90" x14ac:dyDescent="0.3">
      <c r="A113" t="s">
        <v>2785</v>
      </c>
      <c r="F113" s="366" t="str">
        <f>IFERROR(Table6[[#This Row],[Redbook WAC price per tablet/capsule (Jan 2016)]]/Table6[[#This Row],[Redbook package strength (mg) (Jan 2016)]], "")</f>
        <v/>
      </c>
      <c r="G113" s="74"/>
      <c r="L113" t="str">
        <f>IFERROR(Table6[[#This Row],[Redbook WAC price per tablet/capsule (Jul 2016)]]/Table6[[#This Row],[Redbook package strength (mg) (Jul 2016)]], "")</f>
        <v/>
      </c>
      <c r="M113" s="74"/>
      <c r="R113" t="str">
        <f>IFERROR(Table6[[#This Row],[Redbook WAC price per tablet/capsule (Jan 2017)]]/Table6[[#This Row],[Redbook package strength (mg) (Jan 2017)]], "")</f>
        <v/>
      </c>
      <c r="S113" s="74"/>
      <c r="W113" s="285"/>
      <c r="X113" s="285" t="str">
        <f>IFERROR(Table6[[#This Row],[Redbook WAC price per tablet/capsule (Jul 2017)]]/Table6[[#This Row],[Redbook package strength (mg) (Jul 2017)]], "")</f>
        <v/>
      </c>
      <c r="Y113" s="298"/>
      <c r="Z113" s="388"/>
      <c r="AA113" s="417"/>
      <c r="AB113" s="418"/>
      <c r="AC113" s="419"/>
      <c r="AD113" s="419" t="e">
        <f>Table6[[#This Row],[Redbook WAC price per tablet/capsule (Jan 2018)]]/Table6[[#This Row],[Redbook package strength (mg) (Jan 2018)]]</f>
        <v>#DIV/0!</v>
      </c>
      <c r="AE113" s="404"/>
      <c r="AF113" s="405"/>
      <c r="AG113" s="417"/>
      <c r="AH113" s="420"/>
      <c r="AI113" s="421"/>
      <c r="AJ113" s="421" t="e">
        <f>Table6[[#This Row],[Redbook WAC price per tablet/capsule (Jul 2018)]]/Table6[[#This Row],[Redbook package strength (mg) (Jul 2018)]]</f>
        <v>#DIV/0!</v>
      </c>
      <c r="AK113" s="404"/>
      <c r="AL113" s="408"/>
      <c r="AO113" s="59"/>
      <c r="AP113" s="59" t="str">
        <f>IFERROR(Table6[[#This Row],[Redbook WAC price per tablet/capsule (Jan 2019)]]/Table6[[#This Row],[Redbook package strength (mg) (Jan 2019)]], "")</f>
        <v/>
      </c>
      <c r="AQ113" s="57"/>
      <c r="AR113" s="73"/>
      <c r="AU113" s="59"/>
      <c r="AV113" s="59" t="str">
        <f>IFERROR(Table6[[#This Row],[Redbook WAC price per tablet/capsule (Jul 2019)]]/Table6[[#This Row],[Redbook package strength (mg) (Jul 2019)]], "")</f>
        <v/>
      </c>
      <c r="AW113" s="57"/>
      <c r="BA113" s="59"/>
      <c r="BB113" s="59" t="str">
        <f>IFERROR(Table6[[#This Row],[Redbook WAC price per tablet/capsule (Jan 2020)]]/Table6[[#This Row],[Redbook package strength (mg) (Jan 2020)]], "")</f>
        <v/>
      </c>
      <c r="BD113" s="73"/>
      <c r="BG113" s="59"/>
      <c r="BH113" s="59" t="str">
        <f>IFERROR(Table6[[#This Row],[Redbook WAC price per tablet/capsule (Jul 2020)]]/Table6[[#This Row],[Redbook package strength (mg) (Jul 2020)]], "")</f>
        <v/>
      </c>
      <c r="BI113" s="57"/>
      <c r="BM113" s="59"/>
      <c r="BN113" s="59" t="str">
        <f>IFERROR(Table6[[#This Row],[Redbook WAC price per tablet/capsule (Jan 2021)]]/Table6[[#This Row],[Redbook package strength (mg) (Jan 2021)]], "")</f>
        <v/>
      </c>
      <c r="BP113" s="73"/>
      <c r="BS113" s="59"/>
      <c r="BT113" s="197" t="str">
        <f>IFERROR(Table6[[#This Row],[Redbook WAC price per tablet/capsule (Jul 2021)]]/Table6[[#This Row],[Redbook package strength (mg) (Jul 2021)]], "")</f>
        <v/>
      </c>
      <c r="BV113" s="73" t="s">
        <v>2786</v>
      </c>
      <c r="BW113" t="s">
        <v>2787</v>
      </c>
      <c r="BX113">
        <v>100</v>
      </c>
      <c r="BY113" s="59">
        <v>1023.80962</v>
      </c>
      <c r="BZ113" s="59">
        <f>IFERROR(Table6[[#This Row],[Redbook WAC price per tablet/capsule (Jan 2022)]]/Table6[[#This Row],[Redbook package strength (mg) (Jan 2022)]], "")</f>
        <v>10.238096199999999</v>
      </c>
      <c r="CA113" s="57" t="s">
        <v>1741</v>
      </c>
      <c r="CB113" s="343" t="s">
        <v>2786</v>
      </c>
      <c r="CC113" t="s">
        <v>2787</v>
      </c>
      <c r="CD113">
        <v>100</v>
      </c>
      <c r="CE113" s="59">
        <v>1075</v>
      </c>
      <c r="CF113" s="59">
        <f>IFERROR(Table6[[#This Row],[Redbook WAC price per tablet/capsule (Jul 2022)]]/Table6[[#This Row],[Redbook package strength (mg) (Jul 2022)]], "")</f>
        <v>10.75</v>
      </c>
      <c r="CG113" s="74" t="s">
        <v>1741</v>
      </c>
      <c r="CK113" s="59"/>
      <c r="CL113" s="59" t="str">
        <f>IFERROR(Table6[[#This Row],[Redbook WAC price per tablet/capsule (Jan 2023)]]/Table6[[#This Row],[Redbook package strength (mg) (Jan 2023)]], "")</f>
        <v/>
      </c>
    </row>
  </sheetData>
  <mergeCells count="15">
    <mergeCell ref="N1:S1"/>
    <mergeCell ref="H1:M1"/>
    <mergeCell ref="B1:G1"/>
    <mergeCell ref="T1:Y1"/>
    <mergeCell ref="CH1:CM1"/>
    <mergeCell ref="CB1:CG1"/>
    <mergeCell ref="BP1:BU1"/>
    <mergeCell ref="BV1:CA1"/>
    <mergeCell ref="AL1:AQ1"/>
    <mergeCell ref="BD1:BI1"/>
    <mergeCell ref="AX1:BC1"/>
    <mergeCell ref="AR1:AW1"/>
    <mergeCell ref="BJ1:BO1"/>
    <mergeCell ref="Z1:AE1"/>
    <mergeCell ref="AF1:AK1"/>
  </mergeCells>
  <phoneticPr fontId="20" type="noConversion"/>
  <conditionalFormatting sqref="A2:A84">
    <cfRule type="duplicateValues" dxfId="20" priority="2"/>
  </conditionalFormatting>
  <conditionalFormatting sqref="A3:A113">
    <cfRule type="duplicateValues" dxfId="19" priority="20"/>
  </conditionalFormatting>
  <pageMargins left="0.7" right="0.7" top="0.75" bottom="0.75" header="0.3" footer="0.3"/>
  <pageSetup orientation="portrait" horizontalDpi="300" verticalDpi="30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C4620-2584-4E73-8503-20DECABFC489}">
  <dimension ref="A1:F18"/>
  <sheetViews>
    <sheetView workbookViewId="0">
      <selection activeCell="C4" sqref="C4"/>
    </sheetView>
  </sheetViews>
  <sheetFormatPr defaultRowHeight="14.4" x14ac:dyDescent="0.3"/>
  <cols>
    <col min="1" max="1" width="13.5546875" customWidth="1"/>
    <col min="2" max="2" width="26.44140625" customWidth="1"/>
    <col min="3" max="3" width="26.5546875" customWidth="1"/>
    <col min="4" max="4" width="27.44140625" customWidth="1"/>
    <col min="5" max="5" width="68.21875" customWidth="1"/>
    <col min="6" max="6" width="42.77734375" customWidth="1"/>
  </cols>
  <sheetData>
    <row r="1" spans="1:6" ht="15.6" x14ac:dyDescent="0.3">
      <c r="A1" s="64" t="s">
        <v>1531</v>
      </c>
      <c r="B1" s="65" t="s">
        <v>1532</v>
      </c>
      <c r="C1" s="65" t="s">
        <v>1533</v>
      </c>
      <c r="D1" s="65" t="s">
        <v>1534</v>
      </c>
      <c r="E1" s="65" t="s">
        <v>1535</v>
      </c>
      <c r="F1" s="66" t="s">
        <v>194</v>
      </c>
    </row>
    <row r="2" spans="1:6" s="1" customFormat="1" ht="15.6" x14ac:dyDescent="0.3">
      <c r="A2" s="67"/>
      <c r="B2" s="437" t="s">
        <v>105</v>
      </c>
      <c r="C2" s="440">
        <v>500839</v>
      </c>
      <c r="D2" s="437" t="s">
        <v>1540</v>
      </c>
      <c r="E2" s="439" t="s">
        <v>1543</v>
      </c>
      <c r="F2" s="435" t="s">
        <v>2797</v>
      </c>
    </row>
    <row r="3" spans="1:6" s="1" customFormat="1" ht="15.6" x14ac:dyDescent="0.3">
      <c r="A3" s="67"/>
      <c r="B3" s="437" t="s">
        <v>104</v>
      </c>
      <c r="C3" s="441">
        <v>395380</v>
      </c>
      <c r="D3" s="437" t="s">
        <v>1540</v>
      </c>
      <c r="E3" s="439" t="s">
        <v>1543</v>
      </c>
      <c r="F3" s="435" t="s">
        <v>2797</v>
      </c>
    </row>
    <row r="4" spans="1:6" s="1" customFormat="1" ht="15.6" x14ac:dyDescent="0.3">
      <c r="A4" s="67" t="s">
        <v>1536</v>
      </c>
      <c r="B4" s="437" t="s">
        <v>77</v>
      </c>
      <c r="C4" s="437">
        <f>899.027/(22000000)</f>
        <v>4.0864863636363637E-5</v>
      </c>
      <c r="D4" s="437" t="s">
        <v>1542</v>
      </c>
      <c r="E4" s="464" t="s">
        <v>1544</v>
      </c>
      <c r="F4" s="435" t="s">
        <v>2797</v>
      </c>
    </row>
    <row r="5" spans="1:6" s="1" customFormat="1" ht="15.6" x14ac:dyDescent="0.3">
      <c r="A5" s="67" t="s">
        <v>1536</v>
      </c>
      <c r="B5" s="437" t="s">
        <v>80</v>
      </c>
      <c r="C5" s="437">
        <f>899.027/(22000000)</f>
        <v>4.0864863636363637E-5</v>
      </c>
      <c r="D5" s="437" t="s">
        <v>1542</v>
      </c>
      <c r="E5" s="465" t="s">
        <v>1544</v>
      </c>
      <c r="F5" s="435" t="s">
        <v>2797</v>
      </c>
    </row>
    <row r="6" spans="1:6" ht="15.6" x14ac:dyDescent="0.3">
      <c r="A6" s="6" t="s">
        <v>1539</v>
      </c>
      <c r="B6" s="437" t="s">
        <v>92</v>
      </c>
      <c r="C6" s="438">
        <v>41392.129999999997</v>
      </c>
      <c r="D6" s="437" t="s">
        <v>1540</v>
      </c>
      <c r="E6" s="449" t="s">
        <v>1541</v>
      </c>
      <c r="F6" s="435" t="s">
        <v>2797</v>
      </c>
    </row>
    <row r="7" spans="1:6" x14ac:dyDescent="0.3">
      <c r="A7" t="s">
        <v>1529</v>
      </c>
      <c r="B7" t="s">
        <v>172</v>
      </c>
      <c r="E7" t="s">
        <v>1713</v>
      </c>
    </row>
    <row r="8" spans="1:6" x14ac:dyDescent="0.3">
      <c r="A8" t="s">
        <v>1537</v>
      </c>
      <c r="B8" t="s">
        <v>95</v>
      </c>
      <c r="E8" s="43" t="s">
        <v>2853</v>
      </c>
    </row>
    <row r="9" spans="1:6" x14ac:dyDescent="0.3">
      <c r="A9" t="s">
        <v>1600</v>
      </c>
      <c r="B9" t="s">
        <v>1523</v>
      </c>
      <c r="E9" s="43" t="s">
        <v>1614</v>
      </c>
    </row>
    <row r="10" spans="1:6" x14ac:dyDescent="0.3">
      <c r="A10" t="s">
        <v>1545</v>
      </c>
      <c r="B10" s="4" t="s">
        <v>184</v>
      </c>
      <c r="E10" t="s">
        <v>1714</v>
      </c>
    </row>
    <row r="11" spans="1:6" x14ac:dyDescent="0.3">
      <c r="A11" t="s">
        <v>1707</v>
      </c>
      <c r="B11" t="s">
        <v>1704</v>
      </c>
    </row>
    <row r="12" spans="1:6" x14ac:dyDescent="0.3">
      <c r="A12" t="s">
        <v>1988</v>
      </c>
      <c r="B12" t="s">
        <v>2091</v>
      </c>
      <c r="E12" t="s">
        <v>2092</v>
      </c>
    </row>
    <row r="13" spans="1:6" x14ac:dyDescent="0.3">
      <c r="B13" t="s">
        <v>2093</v>
      </c>
      <c r="E13" t="s">
        <v>2092</v>
      </c>
    </row>
    <row r="14" spans="1:6" x14ac:dyDescent="0.3">
      <c r="B14" t="s">
        <v>2153</v>
      </c>
      <c r="E14" t="s">
        <v>2154</v>
      </c>
    </row>
    <row r="15" spans="1:6" ht="15.6" x14ac:dyDescent="0.3">
      <c r="B15" s="434" t="s">
        <v>2159</v>
      </c>
      <c r="C15" s="434"/>
      <c r="D15" s="434"/>
      <c r="E15" s="434" t="s">
        <v>2158</v>
      </c>
      <c r="F15" s="435" t="s">
        <v>2797</v>
      </c>
    </row>
    <row r="16" spans="1:6" x14ac:dyDescent="0.3">
      <c r="B16" t="s">
        <v>2672</v>
      </c>
      <c r="E16" t="s">
        <v>2673</v>
      </c>
    </row>
    <row r="17" spans="2:6" ht="15.6" x14ac:dyDescent="0.3">
      <c r="B17" s="434" t="s">
        <v>2756</v>
      </c>
      <c r="C17" s="434">
        <v>373000</v>
      </c>
      <c r="D17" s="434" t="s">
        <v>1540</v>
      </c>
      <c r="E17" s="434" t="s">
        <v>2784</v>
      </c>
      <c r="F17" s="435" t="s">
        <v>2797</v>
      </c>
    </row>
    <row r="18" spans="2:6" ht="15.6" x14ac:dyDescent="0.3">
      <c r="B18" s="434" t="s">
        <v>2775</v>
      </c>
      <c r="C18" s="434">
        <v>410300</v>
      </c>
      <c r="D18" s="434" t="s">
        <v>1540</v>
      </c>
      <c r="E18" s="436" t="s">
        <v>2776</v>
      </c>
      <c r="F18" s="435" t="s">
        <v>2797</v>
      </c>
    </row>
  </sheetData>
  <phoneticPr fontId="20" type="noConversion"/>
  <hyperlinks>
    <hyperlink ref="E6" r:id="rId1" xr:uid="{6C7B78DD-229A-415A-A4AE-2440AE4567C1}"/>
    <hyperlink ref="E2" r:id="rId2" xr:uid="{FFA9A587-757F-4014-8448-0AB21F7E3777}"/>
    <hyperlink ref="E3" r:id="rId3" xr:uid="{AC139718-73F6-4345-B742-04DA4733C21F}"/>
    <hyperlink ref="E4" r:id="rId4" xr:uid="{18DC8D31-7D62-4BE6-A613-3136AD1CBBEF}"/>
    <hyperlink ref="E5" r:id="rId5" xr:uid="{9F05C067-54A2-4956-BA71-F605CC72241E}"/>
    <hyperlink ref="E9" r:id="rId6" display="https://www.drugs.com/price-guide/aliqopa" xr:uid="{650D41AB-989F-452B-828C-A0DD4464393A}"/>
    <hyperlink ref="E18" r:id="rId7" xr:uid="{58B09EC5-0ACD-4F40-9896-D47EBBD36166}"/>
  </hyperlinks>
  <pageMargins left="0.7" right="0.7" top="0.75" bottom="0.75" header="0.3" footer="0.3"/>
  <pageSetup orientation="portrait" horizontalDpi="90" verticalDpi="90" r:id="rId8"/>
  <legacyDrawing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24055-A470-46B0-8243-221C9B7CC6AF}">
  <dimension ref="A1:CU9"/>
  <sheetViews>
    <sheetView workbookViewId="0">
      <pane xSplit="1" topLeftCell="BO1" activePane="topRight" state="frozen"/>
      <selection pane="topRight" activeCell="CA8" sqref="CA8"/>
    </sheetView>
  </sheetViews>
  <sheetFormatPr defaultRowHeight="14.4" x14ac:dyDescent="0.3"/>
  <cols>
    <col min="1" max="1" width="28" bestFit="1" customWidth="1"/>
    <col min="2" max="2" width="9.77734375" bestFit="1" customWidth="1"/>
    <col min="3" max="3" width="13.5546875" bestFit="1" customWidth="1"/>
    <col min="4" max="4" width="6.44140625" bestFit="1" customWidth="1"/>
    <col min="5" max="6" width="12.5546875" bestFit="1" customWidth="1"/>
    <col min="7" max="7" width="10.5546875" bestFit="1" customWidth="1"/>
    <col min="8" max="8" width="20.77734375" bestFit="1" customWidth="1"/>
    <col min="9" max="9" width="13.5546875" bestFit="1" customWidth="1"/>
    <col min="10" max="10" width="6.44140625" bestFit="1" customWidth="1"/>
    <col min="11" max="12" width="12.5546875" bestFit="1" customWidth="1"/>
    <col min="13" max="13" width="10.5546875" bestFit="1" customWidth="1"/>
    <col min="14" max="14" width="20.77734375" bestFit="1" customWidth="1"/>
    <col min="15" max="15" width="13.5546875" bestFit="1" customWidth="1"/>
    <col min="16" max="16" width="6.44140625" bestFit="1" customWidth="1"/>
    <col min="17" max="18" width="12.5546875" bestFit="1" customWidth="1"/>
    <col min="19" max="19" width="10.5546875" bestFit="1" customWidth="1"/>
    <col min="20" max="20" width="20.77734375" bestFit="1" customWidth="1"/>
    <col min="21" max="21" width="13.5546875" bestFit="1" customWidth="1"/>
    <col min="22" max="22" width="6.44140625" bestFit="1" customWidth="1"/>
    <col min="23" max="24" width="12.5546875" bestFit="1" customWidth="1"/>
    <col min="25" max="25" width="10.5546875" bestFit="1" customWidth="1"/>
    <col min="26" max="26" width="20.77734375" bestFit="1" customWidth="1"/>
    <col min="27" max="27" width="13.5546875" bestFit="1" customWidth="1"/>
    <col min="28" max="28" width="6.44140625" bestFit="1" customWidth="1"/>
    <col min="29" max="31" width="12.5546875" bestFit="1" customWidth="1"/>
    <col min="32" max="32" width="20.77734375" bestFit="1" customWidth="1"/>
    <col min="33" max="33" width="13.5546875" bestFit="1" customWidth="1"/>
    <col min="34" max="34" width="6.44140625" bestFit="1" customWidth="1"/>
    <col min="35" max="37" width="12.5546875" bestFit="1" customWidth="1"/>
    <col min="38" max="38" width="20.77734375" bestFit="1" customWidth="1"/>
    <col min="39" max="39" width="13.5546875" bestFit="1" customWidth="1"/>
    <col min="40" max="40" width="6.44140625" bestFit="1" customWidth="1"/>
    <col min="41" max="43" width="12.5546875" bestFit="1" customWidth="1"/>
    <col min="44" max="44" width="20.77734375" bestFit="1" customWidth="1"/>
    <col min="45" max="45" width="13.5546875" bestFit="1" customWidth="1"/>
    <col min="46" max="46" width="6.44140625" bestFit="1" customWidth="1"/>
    <col min="47" max="49" width="12.5546875" bestFit="1" customWidth="1"/>
    <col min="50" max="50" width="20.77734375" bestFit="1" customWidth="1"/>
    <col min="51" max="51" width="13.5546875" bestFit="1" customWidth="1"/>
    <col min="52" max="52" width="6.44140625" bestFit="1" customWidth="1"/>
    <col min="53" max="55" width="12.5546875" bestFit="1" customWidth="1"/>
    <col min="56" max="56" width="20.77734375" bestFit="1" customWidth="1"/>
    <col min="57" max="57" width="13.5546875" bestFit="1" customWidth="1"/>
    <col min="58" max="58" width="6.44140625" bestFit="1" customWidth="1"/>
    <col min="59" max="61" width="12.5546875" bestFit="1" customWidth="1"/>
    <col min="62" max="62" width="20.77734375" bestFit="1" customWidth="1"/>
    <col min="63" max="63" width="13.5546875" bestFit="1" customWidth="1"/>
    <col min="64" max="64" width="6.44140625" bestFit="1" customWidth="1"/>
    <col min="65" max="67" width="12.5546875" bestFit="1" customWidth="1"/>
    <col min="68" max="68" width="20.77734375" bestFit="1" customWidth="1"/>
    <col min="69" max="69" width="13.5546875" bestFit="1" customWidth="1"/>
    <col min="70" max="70" width="6.44140625" bestFit="1" customWidth="1"/>
    <col min="71" max="73" width="12.5546875" bestFit="1" customWidth="1"/>
    <col min="74" max="74" width="20.77734375" bestFit="1" customWidth="1"/>
    <col min="75" max="75" width="13.5546875" bestFit="1" customWidth="1"/>
    <col min="76" max="76" width="6.44140625" bestFit="1" customWidth="1"/>
    <col min="77" max="79" width="12.5546875" bestFit="1" customWidth="1"/>
    <col min="80" max="80" width="20.77734375" bestFit="1" customWidth="1"/>
    <col min="81" max="81" width="13.5546875" bestFit="1" customWidth="1"/>
    <col min="82" max="82" width="6.44140625" bestFit="1" customWidth="1"/>
    <col min="83" max="85" width="12.5546875" bestFit="1" customWidth="1"/>
    <col min="86" max="86" width="20.77734375" bestFit="1" customWidth="1"/>
    <col min="87" max="87" width="13.5546875" bestFit="1" customWidth="1"/>
    <col min="88" max="88" width="6.44140625" bestFit="1" customWidth="1"/>
    <col min="89" max="91" width="12.5546875" bestFit="1" customWidth="1"/>
    <col min="92" max="92" width="20.77734375" bestFit="1" customWidth="1"/>
    <col min="93" max="93" width="13.5546875" bestFit="1" customWidth="1"/>
    <col min="94" max="94" width="6.44140625" bestFit="1" customWidth="1"/>
    <col min="95" max="97" width="12.5546875" bestFit="1" customWidth="1"/>
    <col min="98" max="98" width="20.77734375" bestFit="1" customWidth="1"/>
  </cols>
  <sheetData>
    <row r="1" spans="1:99" ht="72.599999999999994" thickBot="1" x14ac:dyDescent="0.35">
      <c r="A1" s="443" t="s">
        <v>0</v>
      </c>
      <c r="B1" s="444" t="s">
        <v>2788</v>
      </c>
      <c r="C1" s="452" t="s">
        <v>2655</v>
      </c>
      <c r="D1" s="453" t="s">
        <v>2830</v>
      </c>
      <c r="E1" s="454" t="s">
        <v>2656</v>
      </c>
      <c r="F1" s="454" t="s">
        <v>2659</v>
      </c>
      <c r="G1" s="454" t="s">
        <v>2857</v>
      </c>
      <c r="H1" s="455" t="s">
        <v>2660</v>
      </c>
      <c r="I1" s="456" t="s">
        <v>2643</v>
      </c>
      <c r="J1" s="457" t="s">
        <v>2836</v>
      </c>
      <c r="K1" s="458" t="s">
        <v>2650</v>
      </c>
      <c r="L1" s="458" t="s">
        <v>2653</v>
      </c>
      <c r="M1" s="458" t="s">
        <v>2858</v>
      </c>
      <c r="N1" s="458" t="s">
        <v>2654</v>
      </c>
      <c r="O1" s="459" t="s">
        <v>2645</v>
      </c>
      <c r="P1" s="460" t="s">
        <v>2837</v>
      </c>
      <c r="Q1" s="461" t="s">
        <v>2791</v>
      </c>
      <c r="R1" s="461" t="s">
        <v>2648</v>
      </c>
      <c r="S1" s="461" t="s">
        <v>2860</v>
      </c>
      <c r="T1" s="461" t="s">
        <v>2649</v>
      </c>
      <c r="U1" s="456" t="s">
        <v>2436</v>
      </c>
      <c r="V1" s="457" t="s">
        <v>2838</v>
      </c>
      <c r="W1" s="458" t="s">
        <v>2437</v>
      </c>
      <c r="X1" s="458" t="s">
        <v>2439</v>
      </c>
      <c r="Y1" s="458" t="s">
        <v>2861</v>
      </c>
      <c r="Z1" s="458" t="s">
        <v>2440</v>
      </c>
      <c r="AA1" s="459" t="s">
        <v>2702</v>
      </c>
      <c r="AB1" s="460" t="s">
        <v>2839</v>
      </c>
      <c r="AC1" s="461" t="s">
        <v>2703</v>
      </c>
      <c r="AD1" s="461" t="s">
        <v>2706</v>
      </c>
      <c r="AE1" s="461" t="s">
        <v>2818</v>
      </c>
      <c r="AF1" s="461" t="s">
        <v>2707</v>
      </c>
      <c r="AG1" s="456" t="s">
        <v>2708</v>
      </c>
      <c r="AH1" s="457" t="s">
        <v>2840</v>
      </c>
      <c r="AI1" s="458" t="s">
        <v>2709</v>
      </c>
      <c r="AJ1" s="458" t="s">
        <v>2712</v>
      </c>
      <c r="AK1" s="458" t="s">
        <v>2819</v>
      </c>
      <c r="AL1" s="458" t="s">
        <v>2713</v>
      </c>
      <c r="AM1" s="459" t="s">
        <v>1871</v>
      </c>
      <c r="AN1" s="460" t="s">
        <v>2841</v>
      </c>
      <c r="AO1" s="461" t="s">
        <v>1725</v>
      </c>
      <c r="AP1" s="461" t="s">
        <v>1728</v>
      </c>
      <c r="AQ1" s="461" t="s">
        <v>2820</v>
      </c>
      <c r="AR1" s="461" t="s">
        <v>1729</v>
      </c>
      <c r="AS1" s="456" t="s">
        <v>1872</v>
      </c>
      <c r="AT1" s="457" t="s">
        <v>2842</v>
      </c>
      <c r="AU1" s="458" t="s">
        <v>1730</v>
      </c>
      <c r="AV1" s="458" t="s">
        <v>1733</v>
      </c>
      <c r="AW1" s="458" t="s">
        <v>2821</v>
      </c>
      <c r="AX1" s="458" t="s">
        <v>1734</v>
      </c>
      <c r="AY1" s="459" t="s">
        <v>1873</v>
      </c>
      <c r="AZ1" s="460" t="s">
        <v>2843</v>
      </c>
      <c r="BA1" s="461" t="s">
        <v>1735</v>
      </c>
      <c r="BB1" s="461" t="s">
        <v>1738</v>
      </c>
      <c r="BC1" s="461" t="s">
        <v>2822</v>
      </c>
      <c r="BD1" s="461" t="s">
        <v>1739</v>
      </c>
      <c r="BE1" s="456" t="s">
        <v>1874</v>
      </c>
      <c r="BF1" s="457" t="s">
        <v>2844</v>
      </c>
      <c r="BG1" s="458" t="s">
        <v>1720</v>
      </c>
      <c r="BH1" s="458" t="s">
        <v>1723</v>
      </c>
      <c r="BI1" s="458" t="s">
        <v>2823</v>
      </c>
      <c r="BJ1" s="458" t="s">
        <v>1724</v>
      </c>
      <c r="BK1" s="459" t="s">
        <v>2035</v>
      </c>
      <c r="BL1" s="460" t="s">
        <v>2845</v>
      </c>
      <c r="BM1" s="461" t="s">
        <v>2036</v>
      </c>
      <c r="BN1" s="461" t="s">
        <v>2039</v>
      </c>
      <c r="BO1" s="461" t="s">
        <v>2824</v>
      </c>
      <c r="BP1" s="461" t="s">
        <v>2792</v>
      </c>
      <c r="BQ1" s="456" t="s">
        <v>2042</v>
      </c>
      <c r="BR1" s="457" t="s">
        <v>2846</v>
      </c>
      <c r="BS1" s="458" t="s">
        <v>2043</v>
      </c>
      <c r="BT1" s="458" t="s">
        <v>2046</v>
      </c>
      <c r="BU1" s="458" t="s">
        <v>2825</v>
      </c>
      <c r="BV1" s="458" t="s">
        <v>2041</v>
      </c>
      <c r="BW1" s="459" t="s">
        <v>2047</v>
      </c>
      <c r="BX1" s="460" t="s">
        <v>2847</v>
      </c>
      <c r="BY1" s="461" t="s">
        <v>2048</v>
      </c>
      <c r="BZ1" s="461" t="s">
        <v>2051</v>
      </c>
      <c r="CA1" s="461" t="s">
        <v>2826</v>
      </c>
      <c r="CB1" s="461" t="s">
        <v>2052</v>
      </c>
      <c r="CC1" s="456" t="s">
        <v>2134</v>
      </c>
      <c r="CD1" s="457" t="s">
        <v>2848</v>
      </c>
      <c r="CE1" s="458" t="s">
        <v>2135</v>
      </c>
      <c r="CF1" s="458" t="s">
        <v>2138</v>
      </c>
      <c r="CG1" s="458" t="s">
        <v>2827</v>
      </c>
      <c r="CH1" s="458" t="s">
        <v>2139</v>
      </c>
      <c r="CI1" s="459" t="s">
        <v>2370</v>
      </c>
      <c r="CJ1" s="460" t="s">
        <v>2849</v>
      </c>
      <c r="CK1" s="461" t="s">
        <v>2371</v>
      </c>
      <c r="CL1" s="461" t="s">
        <v>2374</v>
      </c>
      <c r="CM1" s="461" t="s">
        <v>2828</v>
      </c>
      <c r="CN1" s="461" t="s">
        <v>2375</v>
      </c>
      <c r="CO1" s="456" t="s">
        <v>2793</v>
      </c>
      <c r="CP1" s="457" t="s">
        <v>2850</v>
      </c>
      <c r="CQ1" s="458" t="s">
        <v>2794</v>
      </c>
      <c r="CR1" s="458" t="s">
        <v>2795</v>
      </c>
      <c r="CS1" s="458" t="s">
        <v>2829</v>
      </c>
      <c r="CT1" s="458" t="s">
        <v>2796</v>
      </c>
      <c r="CU1" s="445" t="s">
        <v>194</v>
      </c>
    </row>
    <row r="2" spans="1:99" ht="15" thickBot="1" x14ac:dyDescent="0.35">
      <c r="A2" s="426" t="s">
        <v>105</v>
      </c>
      <c r="B2" s="427" t="s">
        <v>2789</v>
      </c>
      <c r="C2" s="428" t="s">
        <v>1551</v>
      </c>
      <c r="D2" s="428" t="s">
        <v>2831</v>
      </c>
      <c r="E2" s="428"/>
      <c r="F2" s="442">
        <v>500839</v>
      </c>
      <c r="G2" s="442" t="s">
        <v>1551</v>
      </c>
      <c r="H2" s="429" t="s">
        <v>2851</v>
      </c>
      <c r="I2" s="57" t="s">
        <v>1551</v>
      </c>
      <c r="J2" s="57" t="s">
        <v>2831</v>
      </c>
      <c r="K2" s="57"/>
      <c r="L2" s="442">
        <v>500839</v>
      </c>
      <c r="M2" s="442" t="s">
        <v>1551</v>
      </c>
      <c r="N2" s="429" t="s">
        <v>2851</v>
      </c>
      <c r="O2" t="s">
        <v>1551</v>
      </c>
      <c r="P2" t="s">
        <v>2831</v>
      </c>
      <c r="R2" s="442">
        <v>500839</v>
      </c>
      <c r="S2" s="442" t="s">
        <v>1551</v>
      </c>
      <c r="T2" s="429" t="s">
        <v>2851</v>
      </c>
      <c r="U2" t="s">
        <v>1551</v>
      </c>
      <c r="V2" t="s">
        <v>2831</v>
      </c>
      <c r="X2" s="442">
        <v>500839</v>
      </c>
      <c r="Y2" s="442" t="s">
        <v>1551</v>
      </c>
      <c r="Z2" s="429" t="s">
        <v>2851</v>
      </c>
      <c r="AA2" t="s">
        <v>2798</v>
      </c>
      <c r="AB2" t="s">
        <v>2831</v>
      </c>
      <c r="AC2" t="s">
        <v>2799</v>
      </c>
      <c r="AD2" s="59">
        <v>475000</v>
      </c>
      <c r="AE2" s="59">
        <f>Table21[[#This Row],[Redbook WAC price per unit (Jan 2018)]] * 1.06</f>
        <v>503500</v>
      </c>
      <c r="AF2" s="429" t="s">
        <v>2851</v>
      </c>
      <c r="AG2" t="s">
        <v>2798</v>
      </c>
      <c r="AH2" t="s">
        <v>2831</v>
      </c>
      <c r="AI2" t="s">
        <v>2799</v>
      </c>
      <c r="AJ2" s="59">
        <v>475000</v>
      </c>
      <c r="AK2" s="59">
        <f>Table21[[#This Row],[Redbook WAC price per unit (Jul 2018)]] * 1.06</f>
        <v>503500</v>
      </c>
      <c r="AL2" s="429" t="s">
        <v>2851</v>
      </c>
      <c r="AM2" t="s">
        <v>2798</v>
      </c>
      <c r="AN2" t="s">
        <v>2831</v>
      </c>
      <c r="AO2" t="s">
        <v>2799</v>
      </c>
      <c r="AP2" s="59">
        <v>475000</v>
      </c>
      <c r="AQ2" s="59">
        <f>Table21[[#This Row],[Redbook WAC price per unit (Jan 2019)]] * 1.06</f>
        <v>503500</v>
      </c>
      <c r="AR2" s="429" t="s">
        <v>2851</v>
      </c>
      <c r="AS2" t="s">
        <v>2798</v>
      </c>
      <c r="AT2" t="s">
        <v>2831</v>
      </c>
      <c r="AU2" t="s">
        <v>2799</v>
      </c>
      <c r="AV2" s="59">
        <v>475000</v>
      </c>
      <c r="AW2" s="59">
        <f>Table21[[#This Row],[Redbook WAC price per unit (Jul 2019)]] * 1.06</f>
        <v>503500</v>
      </c>
      <c r="AX2" s="429" t="s">
        <v>2851</v>
      </c>
      <c r="AY2" t="s">
        <v>2798</v>
      </c>
      <c r="AZ2" t="s">
        <v>2831</v>
      </c>
      <c r="BA2" t="s">
        <v>2799</v>
      </c>
      <c r="BB2" s="59">
        <v>475000</v>
      </c>
      <c r="BC2" s="59">
        <f>Table21[[#This Row],[Redbook WAC price per unit (Jan 2020)]] * 1.06</f>
        <v>503500</v>
      </c>
      <c r="BD2" s="429" t="s">
        <v>2851</v>
      </c>
      <c r="BE2" t="s">
        <v>2798</v>
      </c>
      <c r="BF2" s="424" t="s">
        <v>2831</v>
      </c>
      <c r="BG2" t="s">
        <v>2799</v>
      </c>
      <c r="BH2" s="59">
        <v>475000</v>
      </c>
      <c r="BI2" s="59">
        <f>Table21[[#This Row],[Redbook WAC price per unit (Jul 2020)]] * 1.06</f>
        <v>503500</v>
      </c>
      <c r="BJ2" s="429" t="s">
        <v>2851</v>
      </c>
      <c r="BK2" t="s">
        <v>2798</v>
      </c>
      <c r="BL2" s="1" t="s">
        <v>2831</v>
      </c>
      <c r="BM2" t="s">
        <v>2799</v>
      </c>
      <c r="BN2" s="59">
        <v>475000</v>
      </c>
      <c r="BO2" s="59">
        <f>Table21[[#This Row],[Redbook WAC price per unit (Jan 2021)]] * 1.06</f>
        <v>503500</v>
      </c>
      <c r="BP2" s="429" t="s">
        <v>2851</v>
      </c>
      <c r="BQ2" t="s">
        <v>2798</v>
      </c>
      <c r="BR2" t="s">
        <v>2831</v>
      </c>
      <c r="BS2" t="s">
        <v>2799</v>
      </c>
      <c r="BT2" s="59">
        <v>475000</v>
      </c>
      <c r="BU2" s="59">
        <f>Table21[[#This Row],[Redbook WAC price per unit (Jul 2021)]] * 1.06</f>
        <v>503500</v>
      </c>
      <c r="BV2" s="429" t="s">
        <v>2851</v>
      </c>
      <c r="BW2" t="s">
        <v>2798</v>
      </c>
      <c r="BX2" t="s">
        <v>2831</v>
      </c>
      <c r="BY2" t="s">
        <v>2799</v>
      </c>
      <c r="BZ2" s="59">
        <v>475000</v>
      </c>
      <c r="CA2" s="59">
        <f>Table21[[#This Row],[Redbook WAC price per unit (Jan 2022)]] * 1.06</f>
        <v>503500</v>
      </c>
      <c r="CB2" s="429" t="s">
        <v>2851</v>
      </c>
      <c r="CC2" t="s">
        <v>2798</v>
      </c>
      <c r="CD2" t="s">
        <v>2831</v>
      </c>
      <c r="CE2" t="s">
        <v>2799</v>
      </c>
      <c r="CF2" s="59">
        <v>508250</v>
      </c>
      <c r="CG2" s="59">
        <f>Table21[[#This Row],[Redbook WAC price per unit (Jul 2022)]] * 1.06</f>
        <v>538745</v>
      </c>
      <c r="CH2" s="429" t="s">
        <v>2851</v>
      </c>
      <c r="CI2" t="s">
        <v>2798</v>
      </c>
      <c r="CJ2" t="s">
        <v>2831</v>
      </c>
      <c r="CK2" t="s">
        <v>2799</v>
      </c>
      <c r="CL2" s="59">
        <v>508250</v>
      </c>
      <c r="CM2" s="59">
        <f>Table21[[#This Row],[Redbook WAC price per unit (Jan 2023)]] * 1.06</f>
        <v>538745</v>
      </c>
      <c r="CN2" s="429" t="s">
        <v>2851</v>
      </c>
      <c r="CO2" t="s">
        <v>2798</v>
      </c>
      <c r="CP2" t="s">
        <v>2831</v>
      </c>
      <c r="CQ2" t="s">
        <v>2799</v>
      </c>
      <c r="CR2" s="59">
        <v>543827.5</v>
      </c>
      <c r="CS2" s="59">
        <f>Table21[[#This Row],[Redbook WAC price per unit (Jul 2023)]] * 1.06</f>
        <v>576457.15</v>
      </c>
      <c r="CT2" s="429" t="s">
        <v>2851</v>
      </c>
      <c r="CU2" t="s">
        <v>2801</v>
      </c>
    </row>
    <row r="3" spans="1:99" ht="15" thickBot="1" x14ac:dyDescent="0.35">
      <c r="A3" s="430" t="s">
        <v>104</v>
      </c>
      <c r="B3" s="431" t="s">
        <v>2789</v>
      </c>
      <c r="C3" s="431" t="s">
        <v>1551</v>
      </c>
      <c r="D3" s="431" t="s">
        <v>2832</v>
      </c>
      <c r="E3" s="431"/>
      <c r="F3" s="446">
        <v>395380</v>
      </c>
      <c r="G3" s="469" t="s">
        <v>1551</v>
      </c>
      <c r="H3" s="429" t="s">
        <v>2851</v>
      </c>
      <c r="I3" s="431" t="s">
        <v>1551</v>
      </c>
      <c r="J3" s="431" t="s">
        <v>2832</v>
      </c>
      <c r="K3" s="431"/>
      <c r="L3" s="446">
        <v>395380</v>
      </c>
      <c r="M3" s="469" t="s">
        <v>1551</v>
      </c>
      <c r="N3" s="429" t="s">
        <v>2851</v>
      </c>
      <c r="O3" s="431" t="s">
        <v>1551</v>
      </c>
      <c r="P3" s="431" t="s">
        <v>2832</v>
      </c>
      <c r="Q3" s="431"/>
      <c r="R3" s="446">
        <v>395380</v>
      </c>
      <c r="S3" s="469" t="s">
        <v>1551</v>
      </c>
      <c r="T3" s="429" t="s">
        <v>2851</v>
      </c>
      <c r="U3" s="431" t="s">
        <v>1551</v>
      </c>
      <c r="V3" s="431" t="s">
        <v>2832</v>
      </c>
      <c r="W3" s="431"/>
      <c r="X3" s="446">
        <v>395380</v>
      </c>
      <c r="Y3" s="469" t="s">
        <v>1551</v>
      </c>
      <c r="Z3" s="429" t="s">
        <v>2851</v>
      </c>
      <c r="AA3" t="s">
        <v>2802</v>
      </c>
      <c r="AB3" t="s">
        <v>2832</v>
      </c>
      <c r="AC3" t="s">
        <v>2803</v>
      </c>
      <c r="AD3" s="59">
        <v>373000</v>
      </c>
      <c r="AE3" s="59">
        <f>Table21[[#This Row],[Redbook WAC price per unit (Jan 2018)]] * 1.06</f>
        <v>395380</v>
      </c>
      <c r="AF3" s="429" t="s">
        <v>2851</v>
      </c>
      <c r="AG3" t="s">
        <v>2802</v>
      </c>
      <c r="AH3" t="s">
        <v>2832</v>
      </c>
      <c r="AI3" t="s">
        <v>2803</v>
      </c>
      <c r="AJ3" s="59">
        <v>373000</v>
      </c>
      <c r="AK3" s="59">
        <f>Table21[[#This Row],[Redbook WAC price per unit (Jul 2018)]] * 1.06</f>
        <v>395380</v>
      </c>
      <c r="AL3" s="429" t="s">
        <v>2851</v>
      </c>
      <c r="AM3" t="s">
        <v>2802</v>
      </c>
      <c r="AN3" t="s">
        <v>2832</v>
      </c>
      <c r="AO3" t="s">
        <v>2803</v>
      </c>
      <c r="AP3" s="59">
        <v>373000</v>
      </c>
      <c r="AQ3" s="59">
        <f>Table21[[#This Row],[Redbook WAC price per unit (Jan 2019)]] * 1.06</f>
        <v>395380</v>
      </c>
      <c r="AR3" s="429" t="s">
        <v>2851</v>
      </c>
      <c r="AS3" t="s">
        <v>2802</v>
      </c>
      <c r="AT3" t="s">
        <v>2832</v>
      </c>
      <c r="AU3" t="s">
        <v>2803</v>
      </c>
      <c r="AV3" s="59">
        <v>373000</v>
      </c>
      <c r="AW3" s="59">
        <f>Table21[[#This Row],[Redbook WAC price per unit (Jul 2019)]] * 1.06</f>
        <v>395380</v>
      </c>
      <c r="AX3" s="429" t="s">
        <v>2851</v>
      </c>
      <c r="AY3" t="s">
        <v>2802</v>
      </c>
      <c r="AZ3" t="s">
        <v>2832</v>
      </c>
      <c r="BA3" t="s">
        <v>2803</v>
      </c>
      <c r="BB3" s="59">
        <v>373000</v>
      </c>
      <c r="BC3" s="59">
        <f>Table21[[#This Row],[Redbook WAC price per unit (Jan 2020)]] * 1.06</f>
        <v>395380</v>
      </c>
      <c r="BD3" s="429" t="s">
        <v>2851</v>
      </c>
      <c r="BE3" t="s">
        <v>2802</v>
      </c>
      <c r="BF3" s="424" t="s">
        <v>2832</v>
      </c>
      <c r="BG3" t="s">
        <v>2803</v>
      </c>
      <c r="BH3" s="59">
        <v>373000</v>
      </c>
      <c r="BI3" s="59">
        <f>Table21[[#This Row],[Redbook WAC price per unit (Jul 2020)]] * 1.06</f>
        <v>395380</v>
      </c>
      <c r="BJ3" s="429" t="s">
        <v>2851</v>
      </c>
      <c r="BK3" t="s">
        <v>2802</v>
      </c>
      <c r="BL3" s="1" t="s">
        <v>2832</v>
      </c>
      <c r="BM3" t="s">
        <v>2803</v>
      </c>
      <c r="BN3" s="59">
        <v>373000</v>
      </c>
      <c r="BO3" s="59">
        <f>Table21[[#This Row],[Redbook WAC price per unit (Jan 2021)]] * 1.06</f>
        <v>395380</v>
      </c>
      <c r="BP3" s="429" t="s">
        <v>2851</v>
      </c>
      <c r="BQ3" t="s">
        <v>2802</v>
      </c>
      <c r="BR3" t="s">
        <v>2832</v>
      </c>
      <c r="BS3" t="s">
        <v>2803</v>
      </c>
      <c r="BT3" s="59">
        <v>399000</v>
      </c>
      <c r="BU3" s="59">
        <f>Table21[[#This Row],[Redbook WAC price per unit (Jul 2021)]] * 1.06</f>
        <v>422940</v>
      </c>
      <c r="BV3" s="429" t="s">
        <v>2851</v>
      </c>
      <c r="BW3" t="s">
        <v>2802</v>
      </c>
      <c r="BX3" t="s">
        <v>2832</v>
      </c>
      <c r="BY3" t="s">
        <v>2803</v>
      </c>
      <c r="BZ3" s="59">
        <v>399000</v>
      </c>
      <c r="CA3" s="59">
        <f>Table21[[#This Row],[Redbook WAC price per unit (Jan 2022)]] * 1.06</f>
        <v>422940</v>
      </c>
      <c r="CB3" s="429" t="s">
        <v>2851</v>
      </c>
      <c r="CC3" t="s">
        <v>2802</v>
      </c>
      <c r="CD3" t="s">
        <v>2832</v>
      </c>
      <c r="CE3" t="s">
        <v>2803</v>
      </c>
      <c r="CF3" s="59">
        <v>399000</v>
      </c>
      <c r="CG3" s="59">
        <f>Table21[[#This Row],[Redbook WAC price per unit (Jul 2022)]] * 1.06</f>
        <v>422940</v>
      </c>
      <c r="CH3" s="429" t="s">
        <v>2851</v>
      </c>
      <c r="CI3" t="s">
        <v>2802</v>
      </c>
      <c r="CJ3" t="s">
        <v>2832</v>
      </c>
      <c r="CK3" t="s">
        <v>2803</v>
      </c>
      <c r="CL3" s="59">
        <v>424000</v>
      </c>
      <c r="CM3" s="59">
        <f>Table21[[#This Row],[Redbook WAC price per unit (Jan 2023)]] * 1.06</f>
        <v>449440</v>
      </c>
      <c r="CN3" s="429" t="s">
        <v>2851</v>
      </c>
      <c r="CO3" t="s">
        <v>2802</v>
      </c>
      <c r="CP3" t="s">
        <v>2832</v>
      </c>
      <c r="CQ3" t="s">
        <v>2803</v>
      </c>
      <c r="CR3" s="59">
        <v>424000</v>
      </c>
      <c r="CS3" s="59">
        <f>Table21[[#This Row],[Redbook WAC price per unit (Jul 2023)]] * 1.06</f>
        <v>449440</v>
      </c>
      <c r="CT3" s="429" t="s">
        <v>2851</v>
      </c>
      <c r="CU3" t="s">
        <v>2804</v>
      </c>
    </row>
    <row r="4" spans="1:99" x14ac:dyDescent="0.3">
      <c r="A4" s="433" t="s">
        <v>92</v>
      </c>
      <c r="B4" s="433" t="s">
        <v>2790</v>
      </c>
      <c r="C4" s="433" t="s">
        <v>2805</v>
      </c>
      <c r="D4" s="433" t="s">
        <v>1551</v>
      </c>
      <c r="E4" s="433" t="s">
        <v>2806</v>
      </c>
      <c r="F4" s="447">
        <v>45462.958333333336</v>
      </c>
      <c r="G4" s="470" t="s">
        <v>1551</v>
      </c>
      <c r="H4" s="429" t="s">
        <v>2851</v>
      </c>
      <c r="I4" s="433" t="s">
        <v>2805</v>
      </c>
      <c r="J4" s="433" t="s">
        <v>1551</v>
      </c>
      <c r="K4" s="433" t="s">
        <v>2806</v>
      </c>
      <c r="L4" s="447">
        <v>45462.958333333336</v>
      </c>
      <c r="M4" s="470" t="s">
        <v>1551</v>
      </c>
      <c r="N4" s="429" t="s">
        <v>2851</v>
      </c>
      <c r="O4" s="433" t="s">
        <v>2805</v>
      </c>
      <c r="P4" s="433" t="s">
        <v>1551</v>
      </c>
      <c r="Q4" s="433" t="s">
        <v>2806</v>
      </c>
      <c r="R4" s="447">
        <v>45462.958333333336</v>
      </c>
      <c r="S4" s="470" t="s">
        <v>1551</v>
      </c>
      <c r="T4" s="429" t="s">
        <v>2851</v>
      </c>
      <c r="U4" s="433" t="s">
        <v>2805</v>
      </c>
      <c r="V4" s="433" t="s">
        <v>1551</v>
      </c>
      <c r="W4" s="433" t="s">
        <v>2806</v>
      </c>
      <c r="X4" s="447">
        <v>46326.758333333339</v>
      </c>
      <c r="Y4" s="470" t="s">
        <v>1551</v>
      </c>
      <c r="Z4" s="429" t="s">
        <v>2851</v>
      </c>
      <c r="AA4" s="433" t="s">
        <v>2805</v>
      </c>
      <c r="AB4" s="433" t="s">
        <v>1551</v>
      </c>
      <c r="AC4" s="433" t="s">
        <v>2806</v>
      </c>
      <c r="AD4" s="59">
        <v>47206.958333333336</v>
      </c>
      <c r="AE4" s="59" t="s">
        <v>1551</v>
      </c>
      <c r="AF4" s="429" t="s">
        <v>2851</v>
      </c>
      <c r="AG4" s="433" t="s">
        <v>2805</v>
      </c>
      <c r="AH4" s="433" t="s">
        <v>1551</v>
      </c>
      <c r="AI4" s="433" t="s">
        <v>2806</v>
      </c>
      <c r="AJ4" s="59">
        <v>47206.958333333336</v>
      </c>
      <c r="AK4" s="59" t="s">
        <v>1551</v>
      </c>
      <c r="AL4" s="429" t="s">
        <v>2851</v>
      </c>
      <c r="AM4" s="433" t="s">
        <v>2805</v>
      </c>
      <c r="AN4" s="433" t="s">
        <v>1551</v>
      </c>
      <c r="AO4" s="433" t="s">
        <v>2806</v>
      </c>
      <c r="AP4" s="59">
        <v>49017.875</v>
      </c>
      <c r="AQ4" s="59" t="s">
        <v>1551</v>
      </c>
      <c r="AR4" s="429" t="s">
        <v>2851</v>
      </c>
      <c r="AS4" s="433" t="s">
        <v>2805</v>
      </c>
      <c r="AT4" s="433" t="s">
        <v>1551</v>
      </c>
      <c r="AU4" s="433" t="s">
        <v>2806</v>
      </c>
      <c r="AV4" s="59">
        <v>50698.450000000004</v>
      </c>
      <c r="AW4" s="59" t="s">
        <v>1551</v>
      </c>
      <c r="AX4" s="429" t="s">
        <v>2851</v>
      </c>
      <c r="AY4" s="433" t="s">
        <v>2805</v>
      </c>
      <c r="AZ4" s="433" t="s">
        <v>1551</v>
      </c>
      <c r="BA4" s="433" t="s">
        <v>2806</v>
      </c>
      <c r="BB4" s="59">
        <v>54754.325000000004</v>
      </c>
      <c r="BC4" s="59" t="s">
        <v>1551</v>
      </c>
      <c r="BD4" s="429" t="s">
        <v>2851</v>
      </c>
      <c r="BE4" s="448" t="s">
        <v>2805</v>
      </c>
      <c r="BF4" s="433" t="s">
        <v>1551</v>
      </c>
      <c r="BG4" s="433" t="s">
        <v>2806</v>
      </c>
      <c r="BH4" s="59">
        <v>55575.64166666667</v>
      </c>
      <c r="BI4" s="59" t="s">
        <v>1551</v>
      </c>
      <c r="BJ4" s="429" t="s">
        <v>2851</v>
      </c>
      <c r="BK4" s="143" t="s">
        <v>2807</v>
      </c>
      <c r="BL4" s="1" t="s">
        <v>1551</v>
      </c>
      <c r="BM4" t="s">
        <v>2806</v>
      </c>
      <c r="BN4" s="59">
        <v>55575.64166666667</v>
      </c>
      <c r="BO4" s="59" t="s">
        <v>1551</v>
      </c>
      <c r="BP4" s="429" t="s">
        <v>2851</v>
      </c>
      <c r="BQ4" t="s">
        <v>2807</v>
      </c>
      <c r="BR4" t="s">
        <v>1551</v>
      </c>
      <c r="BS4" t="s">
        <v>2806</v>
      </c>
      <c r="BT4" s="59">
        <v>56409.266666666663</v>
      </c>
      <c r="BU4" s="59" t="s">
        <v>1551</v>
      </c>
      <c r="BV4" s="429" t="s">
        <v>2851</v>
      </c>
      <c r="BW4" t="s">
        <v>2807</v>
      </c>
      <c r="BX4" t="s">
        <v>1551</v>
      </c>
      <c r="BY4" t="s">
        <v>2806</v>
      </c>
      <c r="BZ4" s="59">
        <v>56832.333333333336</v>
      </c>
      <c r="CA4" s="59" t="s">
        <v>1551</v>
      </c>
      <c r="CB4" s="429" t="s">
        <v>2851</v>
      </c>
      <c r="CC4" t="s">
        <v>2807</v>
      </c>
      <c r="CD4" t="s">
        <v>1551</v>
      </c>
      <c r="CE4" t="s">
        <v>2806</v>
      </c>
      <c r="CF4" s="59">
        <v>60857.5</v>
      </c>
      <c r="CG4" s="59" t="s">
        <v>1551</v>
      </c>
      <c r="CH4" s="429" t="s">
        <v>2851</v>
      </c>
      <c r="CI4" t="s">
        <v>2807</v>
      </c>
      <c r="CJ4" t="s">
        <v>1551</v>
      </c>
      <c r="CK4" t="s">
        <v>2806</v>
      </c>
      <c r="CL4" s="59">
        <v>61770.35833333333</v>
      </c>
      <c r="CM4" s="59" t="s">
        <v>1551</v>
      </c>
      <c r="CN4" s="429" t="s">
        <v>2851</v>
      </c>
      <c r="CO4" t="s">
        <v>2807</v>
      </c>
      <c r="CP4" t="s">
        <v>1551</v>
      </c>
      <c r="CQ4" t="s">
        <v>2806</v>
      </c>
      <c r="CR4" s="59">
        <v>61770.35833333333</v>
      </c>
      <c r="CS4" s="59" t="s">
        <v>1551</v>
      </c>
      <c r="CT4" s="429" t="s">
        <v>2851</v>
      </c>
      <c r="CU4" t="s">
        <v>2808</v>
      </c>
    </row>
    <row r="5" spans="1:99" ht="15" thickBot="1" x14ac:dyDescent="0.35">
      <c r="A5" s="431" t="s">
        <v>2159</v>
      </c>
      <c r="B5" s="431" t="s">
        <v>2789</v>
      </c>
      <c r="C5" s="431" t="s">
        <v>1551</v>
      </c>
      <c r="D5" s="431" t="s">
        <v>2833</v>
      </c>
      <c r="E5" s="431"/>
      <c r="F5" s="431" t="s">
        <v>1551</v>
      </c>
      <c r="G5" s="450" t="e">
        <f>Table21[[#This Row],[Redbook WAC price per unit (Jan 2016)]] * 1.06</f>
        <v>#VALUE!</v>
      </c>
      <c r="H5" s="432"/>
      <c r="I5" s="431" t="s">
        <v>1551</v>
      </c>
      <c r="J5" s="431" t="s">
        <v>2833</v>
      </c>
      <c r="K5" s="431"/>
      <c r="L5" s="431" t="s">
        <v>1551</v>
      </c>
      <c r="M5" s="450" t="e">
        <f>Table21[[#This Row],[Redbook WAC price per unit (Jul 2016)]] * 1.06</f>
        <v>#VALUE!</v>
      </c>
      <c r="N5" s="432"/>
      <c r="O5" s="431" t="s">
        <v>1551</v>
      </c>
      <c r="P5" s="431" t="s">
        <v>2833</v>
      </c>
      <c r="Q5" s="431"/>
      <c r="R5" s="431" t="s">
        <v>1551</v>
      </c>
      <c r="S5" s="450" t="e">
        <f>Table21[[#This Row],[Redbook WAC price per unit (Jan 2017)]] * 1.06</f>
        <v>#VALUE!</v>
      </c>
      <c r="T5" s="432"/>
      <c r="U5" s="431" t="s">
        <v>1551</v>
      </c>
      <c r="V5" s="431" t="s">
        <v>2833</v>
      </c>
      <c r="W5" s="431"/>
      <c r="X5" s="431" t="s">
        <v>1551</v>
      </c>
      <c r="Y5" s="450" t="e">
        <f>Table21[[#This Row],[Redbook WAC price per unit (Jul 2017)]] * 1.06</f>
        <v>#VALUE!</v>
      </c>
      <c r="Z5" s="432"/>
      <c r="AA5" s="431" t="s">
        <v>1551</v>
      </c>
      <c r="AB5" s="431" t="s">
        <v>2833</v>
      </c>
      <c r="AC5" s="431"/>
      <c r="AD5" s="431" t="s">
        <v>1551</v>
      </c>
      <c r="AE5" s="450" t="e">
        <f>Table21[[#This Row],[Redbook WAC price per unit (Jan 2018)]] * 1.06</f>
        <v>#VALUE!</v>
      </c>
      <c r="AF5" s="432"/>
      <c r="AG5" s="431" t="s">
        <v>1551</v>
      </c>
      <c r="AH5" s="431" t="s">
        <v>2833</v>
      </c>
      <c r="AI5" s="431"/>
      <c r="AJ5" s="431" t="s">
        <v>1551</v>
      </c>
      <c r="AK5" s="450" t="e">
        <f>Table21[[#This Row],[Redbook WAC price per unit (Jul 2018)]] * 1.06</f>
        <v>#VALUE!</v>
      </c>
      <c r="AL5" s="432"/>
      <c r="AM5" s="431" t="s">
        <v>1551</v>
      </c>
      <c r="AN5" s="431" t="s">
        <v>2833</v>
      </c>
      <c r="AO5" s="431"/>
      <c r="AP5" s="431" t="s">
        <v>1551</v>
      </c>
      <c r="AQ5" s="450" t="e">
        <f>Table21[[#This Row],[Redbook WAC price per unit (Jan 2019)]] * 1.06</f>
        <v>#VALUE!</v>
      </c>
      <c r="AR5" s="432"/>
      <c r="AS5" s="431" t="s">
        <v>1551</v>
      </c>
      <c r="AT5" s="431" t="s">
        <v>2833</v>
      </c>
      <c r="AU5" s="431"/>
      <c r="AV5" s="431" t="s">
        <v>1551</v>
      </c>
      <c r="AW5" s="450" t="e">
        <f>Table21[[#This Row],[Redbook WAC price per unit (Jul 2019)]] * 1.06</f>
        <v>#VALUE!</v>
      </c>
      <c r="AX5" s="432"/>
      <c r="AY5" s="431" t="s">
        <v>1551</v>
      </c>
      <c r="AZ5" s="431" t="s">
        <v>2833</v>
      </c>
      <c r="BA5" s="431"/>
      <c r="BB5" s="431" t="s">
        <v>1551</v>
      </c>
      <c r="BC5" s="450" t="e">
        <f>Table21[[#This Row],[Redbook WAC price per unit (Jan 2020)]] * 1.06</f>
        <v>#VALUE!</v>
      </c>
      <c r="BD5" s="432"/>
      <c r="BE5" s="431" t="s">
        <v>1551</v>
      </c>
      <c r="BF5" s="431" t="s">
        <v>2833</v>
      </c>
      <c r="BG5" s="431"/>
      <c r="BH5" s="431" t="s">
        <v>1551</v>
      </c>
      <c r="BI5" s="450" t="e">
        <f>Table21[[#This Row],[Redbook WAC price per unit (Jul 2020)]] * 1.06</f>
        <v>#VALUE!</v>
      </c>
      <c r="BJ5" s="432"/>
      <c r="BK5" s="431" t="s">
        <v>1551</v>
      </c>
      <c r="BL5" s="451" t="s">
        <v>2833</v>
      </c>
      <c r="BM5" s="431"/>
      <c r="BN5" s="431" t="s">
        <v>1551</v>
      </c>
      <c r="BO5" s="450" t="e">
        <f>Table21[[#This Row],[Redbook WAC price per unit (Jan 2021)]] * 1.06</f>
        <v>#VALUE!</v>
      </c>
      <c r="BP5" s="432"/>
      <c r="BQ5" t="s">
        <v>2809</v>
      </c>
      <c r="BR5" t="s">
        <v>2833</v>
      </c>
      <c r="BS5" t="s">
        <v>2810</v>
      </c>
      <c r="BT5" s="59">
        <f>503400/1.2</f>
        <v>419500</v>
      </c>
      <c r="BU5" s="59">
        <f>Table21[[#This Row],[Redbook WAC price per unit (Jul 2021)]] * 1.06</f>
        <v>444670</v>
      </c>
      <c r="BV5" s="462" t="s">
        <v>2852</v>
      </c>
      <c r="BW5" t="s">
        <v>2809</v>
      </c>
      <c r="BX5" t="s">
        <v>2833</v>
      </c>
      <c r="BY5" t="s">
        <v>2810</v>
      </c>
      <c r="BZ5" s="59">
        <f>503400/1.2</f>
        <v>419500</v>
      </c>
      <c r="CA5" s="59">
        <f>Table21[[#This Row],[Redbook WAC price per unit (Jan 2022)]] * 1.06</f>
        <v>444670</v>
      </c>
      <c r="CB5" s="462" t="s">
        <v>2852</v>
      </c>
      <c r="CC5" t="s">
        <v>2809</v>
      </c>
      <c r="CD5" t="s">
        <v>2833</v>
      </c>
      <c r="CE5" t="s">
        <v>2810</v>
      </c>
      <c r="CF5" s="59">
        <f>503400/1.2</f>
        <v>419500</v>
      </c>
      <c r="CG5" s="59">
        <f>Table21[[#This Row],[Redbook WAC price per unit (Jul 2022)]] * 1.06</f>
        <v>444670</v>
      </c>
      <c r="CH5" s="462" t="s">
        <v>2852</v>
      </c>
      <c r="CI5" t="s">
        <v>2809</v>
      </c>
      <c r="CJ5" t="s">
        <v>2833</v>
      </c>
      <c r="CK5" t="s">
        <v>2810</v>
      </c>
      <c r="CL5" s="59">
        <f>503400/1.2</f>
        <v>419500</v>
      </c>
      <c r="CM5" s="59">
        <f>Table21[[#This Row],[Redbook WAC price per unit (Jan 2023)]] * 1.06</f>
        <v>444670</v>
      </c>
      <c r="CN5" s="462" t="s">
        <v>2852</v>
      </c>
      <c r="CO5" t="s">
        <v>2809</v>
      </c>
      <c r="CP5" t="s">
        <v>2833</v>
      </c>
      <c r="CQ5" t="s">
        <v>2810</v>
      </c>
      <c r="CR5" s="59">
        <v>457255</v>
      </c>
      <c r="CS5" s="59">
        <f>Table21[[#This Row],[Redbook WAC price per unit (Jul 2023)]] * 1.06</f>
        <v>484690.30000000005</v>
      </c>
      <c r="CT5" s="462" t="s">
        <v>2852</v>
      </c>
      <c r="CU5" t="s">
        <v>2811</v>
      </c>
    </row>
    <row r="6" spans="1:99" x14ac:dyDescent="0.3">
      <c r="A6" s="433" t="s">
        <v>2756</v>
      </c>
      <c r="B6" s="433" t="s">
        <v>2789</v>
      </c>
      <c r="C6" s="431" t="s">
        <v>1551</v>
      </c>
      <c r="D6" s="431" t="s">
        <v>2834</v>
      </c>
      <c r="E6" s="431"/>
      <c r="F6" s="431" t="s">
        <v>1551</v>
      </c>
      <c r="G6" s="450" t="e">
        <f>Table21[[#This Row],[Redbook WAC price per unit (Jan 2016)]] * 1.06</f>
        <v>#VALUE!</v>
      </c>
      <c r="H6" s="432"/>
      <c r="I6" s="431" t="s">
        <v>1551</v>
      </c>
      <c r="J6" s="431" t="s">
        <v>2834</v>
      </c>
      <c r="K6" s="431"/>
      <c r="L6" s="431" t="s">
        <v>1551</v>
      </c>
      <c r="M6" s="450" t="e">
        <f>Table21[[#This Row],[Redbook WAC price per unit (Jul 2016)]] * 1.06</f>
        <v>#VALUE!</v>
      </c>
      <c r="N6" s="432"/>
      <c r="O6" s="431" t="s">
        <v>1551</v>
      </c>
      <c r="P6" s="431" t="s">
        <v>2834</v>
      </c>
      <c r="Q6" s="431"/>
      <c r="R6" s="431" t="s">
        <v>1551</v>
      </c>
      <c r="S6" s="450" t="e">
        <f>Table21[[#This Row],[Redbook WAC price per unit (Jan 2017)]] * 1.06</f>
        <v>#VALUE!</v>
      </c>
      <c r="T6" s="432"/>
      <c r="U6" s="431" t="s">
        <v>1551</v>
      </c>
      <c r="V6" s="431" t="s">
        <v>2834</v>
      </c>
      <c r="W6" s="431"/>
      <c r="X6" s="431" t="s">
        <v>1551</v>
      </c>
      <c r="Y6" s="450" t="e">
        <f>Table21[[#This Row],[Redbook WAC price per unit (Jul 2017)]] * 1.06</f>
        <v>#VALUE!</v>
      </c>
      <c r="Z6" s="432"/>
      <c r="AA6" s="431" t="s">
        <v>1551</v>
      </c>
      <c r="AB6" s="431" t="s">
        <v>2834</v>
      </c>
      <c r="AC6" s="431"/>
      <c r="AD6" s="431" t="s">
        <v>1551</v>
      </c>
      <c r="AE6" s="450" t="e">
        <f>Table21[[#This Row],[Redbook WAC price per unit (Jan 2018)]] * 1.06</f>
        <v>#VALUE!</v>
      </c>
      <c r="AF6" s="432"/>
      <c r="AG6" s="431" t="s">
        <v>1551</v>
      </c>
      <c r="AH6" s="431" t="s">
        <v>2834</v>
      </c>
      <c r="AI6" s="431"/>
      <c r="AJ6" s="431" t="s">
        <v>1551</v>
      </c>
      <c r="AK6" s="450" t="e">
        <f>Table21[[#This Row],[Redbook WAC price per unit (Jul 2018)]] * 1.06</f>
        <v>#VALUE!</v>
      </c>
      <c r="AL6" s="432"/>
      <c r="AM6" s="431" t="s">
        <v>1551</v>
      </c>
      <c r="AN6" s="431" t="s">
        <v>2834</v>
      </c>
      <c r="AO6" s="431"/>
      <c r="AP6" s="431" t="s">
        <v>1551</v>
      </c>
      <c r="AQ6" s="450" t="e">
        <f>Table21[[#This Row],[Redbook WAC price per unit (Jan 2019)]] * 1.06</f>
        <v>#VALUE!</v>
      </c>
      <c r="AR6" s="432"/>
      <c r="AS6" s="431" t="s">
        <v>1551</v>
      </c>
      <c r="AT6" s="431" t="s">
        <v>2834</v>
      </c>
      <c r="AU6" s="431"/>
      <c r="AV6" s="431" t="s">
        <v>1551</v>
      </c>
      <c r="AW6" s="450" t="e">
        <f>Table21[[#This Row],[Redbook WAC price per unit (Jul 2019)]] * 1.06</f>
        <v>#VALUE!</v>
      </c>
      <c r="AX6" s="432"/>
      <c r="AY6" s="431" t="s">
        <v>1551</v>
      </c>
      <c r="AZ6" s="431" t="s">
        <v>2834</v>
      </c>
      <c r="BA6" s="431"/>
      <c r="BB6" s="431" t="s">
        <v>1551</v>
      </c>
      <c r="BC6" s="450" t="e">
        <f>Table21[[#This Row],[Redbook WAC price per unit (Jan 2020)]] * 1.06</f>
        <v>#VALUE!</v>
      </c>
      <c r="BD6" s="432"/>
      <c r="BE6" s="431" t="s">
        <v>1551</v>
      </c>
      <c r="BF6" s="431" t="s">
        <v>2834</v>
      </c>
      <c r="BG6" s="431"/>
      <c r="BH6" s="431" t="s">
        <v>1551</v>
      </c>
      <c r="BI6" s="450" t="e">
        <f>Table21[[#This Row],[Redbook WAC price per unit (Jul 2020)]] * 1.06</f>
        <v>#VALUE!</v>
      </c>
      <c r="BJ6" s="432"/>
      <c r="BK6" t="s">
        <v>2812</v>
      </c>
      <c r="BL6" s="1" t="s">
        <v>2834</v>
      </c>
      <c r="BM6" t="s">
        <v>2813</v>
      </c>
      <c r="BN6" s="59">
        <v>373000</v>
      </c>
      <c r="BO6" s="59">
        <f>Table21[[#This Row],[Redbook WAC price per unit (Jan 2021)]] * 1.06</f>
        <v>395380</v>
      </c>
      <c r="BP6" s="429" t="s">
        <v>2851</v>
      </c>
      <c r="BQ6" t="s">
        <v>2812</v>
      </c>
      <c r="BR6" t="s">
        <v>2834</v>
      </c>
      <c r="BS6" t="s">
        <v>2813</v>
      </c>
      <c r="BT6" s="59">
        <v>399000</v>
      </c>
      <c r="BU6" s="59">
        <f>Table21[[#This Row],[Redbook WAC price per unit (Jul 2021)]] * 1.06</f>
        <v>422940</v>
      </c>
      <c r="BV6" s="429" t="s">
        <v>2851</v>
      </c>
      <c r="BW6" t="s">
        <v>2812</v>
      </c>
      <c r="BX6" t="s">
        <v>2834</v>
      </c>
      <c r="BY6" t="s">
        <v>2813</v>
      </c>
      <c r="BZ6" s="59">
        <v>399000</v>
      </c>
      <c r="CA6" s="59">
        <f>Table21[[#This Row],[Redbook WAC price per unit (Jan 2022)]] * 1.06</f>
        <v>422940</v>
      </c>
      <c r="CB6" s="429" t="s">
        <v>2851</v>
      </c>
      <c r="CC6" t="s">
        <v>2812</v>
      </c>
      <c r="CD6" t="s">
        <v>2834</v>
      </c>
      <c r="CE6" t="s">
        <v>2813</v>
      </c>
      <c r="CF6" s="59">
        <v>399000</v>
      </c>
      <c r="CG6" s="59">
        <f>Table21[[#This Row],[Redbook WAC price per unit (Jul 2022)]] * 1.06</f>
        <v>422940</v>
      </c>
      <c r="CH6" s="429" t="s">
        <v>2851</v>
      </c>
      <c r="CI6" t="s">
        <v>2812</v>
      </c>
      <c r="CJ6" t="s">
        <v>2834</v>
      </c>
      <c r="CK6" t="s">
        <v>2813</v>
      </c>
      <c r="CL6" s="59">
        <v>424000</v>
      </c>
      <c r="CM6" s="59">
        <f>Table21[[#This Row],[Redbook WAC price per unit (Jan 2023)]] * 1.06</f>
        <v>449440</v>
      </c>
      <c r="CN6" s="429" t="s">
        <v>2851</v>
      </c>
      <c r="CO6" t="s">
        <v>2812</v>
      </c>
      <c r="CP6" t="s">
        <v>2834</v>
      </c>
      <c r="CQ6" t="s">
        <v>2813</v>
      </c>
      <c r="CR6" s="59">
        <v>424000</v>
      </c>
      <c r="CS6" s="59">
        <f>Table21[[#This Row],[Redbook WAC price per unit (Jul 2023)]] * 1.06</f>
        <v>449440</v>
      </c>
      <c r="CT6" s="429" t="s">
        <v>2851</v>
      </c>
      <c r="CU6" t="s">
        <v>2814</v>
      </c>
    </row>
    <row r="7" spans="1:99" x14ac:dyDescent="0.3">
      <c r="A7" s="431" t="s">
        <v>2775</v>
      </c>
      <c r="B7" s="431" t="s">
        <v>2789</v>
      </c>
      <c r="C7" s="431" t="s">
        <v>1551</v>
      </c>
      <c r="D7" s="431" t="s">
        <v>2835</v>
      </c>
      <c r="E7" s="431"/>
      <c r="F7" s="431" t="s">
        <v>1551</v>
      </c>
      <c r="G7" s="450" t="e">
        <f>Table21[[#This Row],[Redbook WAC price per unit (Jan 2016)]] * 1.06</f>
        <v>#VALUE!</v>
      </c>
      <c r="H7" s="432"/>
      <c r="I7" s="431" t="s">
        <v>1551</v>
      </c>
      <c r="J7" s="431" t="s">
        <v>2835</v>
      </c>
      <c r="K7" s="431"/>
      <c r="L7" s="431" t="s">
        <v>1551</v>
      </c>
      <c r="M7" s="450" t="e">
        <f>Table21[[#This Row],[Redbook WAC price per unit (Jul 2016)]] * 1.06</f>
        <v>#VALUE!</v>
      </c>
      <c r="N7" s="432"/>
      <c r="O7" s="431" t="s">
        <v>1551</v>
      </c>
      <c r="P7" s="431" t="s">
        <v>2835</v>
      </c>
      <c r="Q7" s="431"/>
      <c r="R7" s="431" t="s">
        <v>1551</v>
      </c>
      <c r="S7" s="450" t="e">
        <f>Table21[[#This Row],[Redbook WAC price per unit (Jan 2017)]] * 1.06</f>
        <v>#VALUE!</v>
      </c>
      <c r="T7" s="432"/>
      <c r="U7" s="431" t="s">
        <v>1551</v>
      </c>
      <c r="V7" s="431" t="s">
        <v>2835</v>
      </c>
      <c r="W7" s="431"/>
      <c r="X7" s="431" t="s">
        <v>1551</v>
      </c>
      <c r="Y7" s="450" t="e">
        <f>Table21[[#This Row],[Redbook WAC price per unit (Jul 2017)]] * 1.06</f>
        <v>#VALUE!</v>
      </c>
      <c r="Z7" s="432"/>
      <c r="AA7" s="431" t="s">
        <v>1551</v>
      </c>
      <c r="AB7" s="431" t="s">
        <v>2835</v>
      </c>
      <c r="AC7" s="431"/>
      <c r="AD7" s="431" t="s">
        <v>1551</v>
      </c>
      <c r="AE7" s="450" t="e">
        <f>Table21[[#This Row],[Redbook WAC price per unit (Jan 2018)]] * 1.06</f>
        <v>#VALUE!</v>
      </c>
      <c r="AF7" s="432"/>
      <c r="AG7" s="431" t="s">
        <v>1551</v>
      </c>
      <c r="AH7" s="431" t="s">
        <v>2835</v>
      </c>
      <c r="AI7" s="431"/>
      <c r="AJ7" s="431" t="s">
        <v>1551</v>
      </c>
      <c r="AK7" s="450" t="e">
        <f>Table21[[#This Row],[Redbook WAC price per unit (Jul 2018)]] * 1.06</f>
        <v>#VALUE!</v>
      </c>
      <c r="AL7" s="432"/>
      <c r="AM7" s="431" t="s">
        <v>1551</v>
      </c>
      <c r="AN7" s="431" t="s">
        <v>2835</v>
      </c>
      <c r="AO7" s="431"/>
      <c r="AP7" s="431" t="s">
        <v>1551</v>
      </c>
      <c r="AQ7" s="450" t="e">
        <f>Table21[[#This Row],[Redbook WAC price per unit (Jan 2019)]] * 1.06</f>
        <v>#VALUE!</v>
      </c>
      <c r="AR7" s="432"/>
      <c r="AS7" s="431" t="s">
        <v>1551</v>
      </c>
      <c r="AT7" s="431" t="s">
        <v>2835</v>
      </c>
      <c r="AU7" s="431"/>
      <c r="AV7" s="431" t="s">
        <v>1551</v>
      </c>
      <c r="AW7" s="450" t="e">
        <f>Table21[[#This Row],[Redbook WAC price per unit (Jul 2019)]] * 1.06</f>
        <v>#VALUE!</v>
      </c>
      <c r="AX7" s="432"/>
      <c r="AY7" s="431" t="s">
        <v>1551</v>
      </c>
      <c r="AZ7" s="431" t="s">
        <v>2835</v>
      </c>
      <c r="BA7" s="431"/>
      <c r="BB7" s="431" t="s">
        <v>1551</v>
      </c>
      <c r="BC7" s="450" t="e">
        <f>Table21[[#This Row],[Redbook WAC price per unit (Jan 2020)]] * 1.06</f>
        <v>#VALUE!</v>
      </c>
      <c r="BD7" s="432"/>
      <c r="BE7" s="431" t="s">
        <v>1551</v>
      </c>
      <c r="BF7" s="431" t="s">
        <v>2835</v>
      </c>
      <c r="BG7" s="431"/>
      <c r="BH7" s="431" t="s">
        <v>1551</v>
      </c>
      <c r="BI7" s="450" t="e">
        <f>Table21[[#This Row],[Redbook WAC price per unit (Jul 2020)]] * 1.06</f>
        <v>#VALUE!</v>
      </c>
      <c r="BJ7" s="432"/>
      <c r="BK7" s="431" t="s">
        <v>1551</v>
      </c>
      <c r="BL7" s="451" t="s">
        <v>2835</v>
      </c>
      <c r="BM7" s="431"/>
      <c r="BN7" s="431" t="s">
        <v>1551</v>
      </c>
      <c r="BO7" s="450" t="e">
        <f>Table21[[#This Row],[Redbook WAC price per unit (Jan 2021)]] * 1.06</f>
        <v>#VALUE!</v>
      </c>
      <c r="BP7" s="432"/>
      <c r="BQ7" t="s">
        <v>2815</v>
      </c>
      <c r="BR7" t="s">
        <v>2835</v>
      </c>
      <c r="BS7" t="s">
        <v>2816</v>
      </c>
      <c r="BT7" s="59">
        <f>492360/1.2</f>
        <v>410300</v>
      </c>
      <c r="BU7" s="59">
        <f>Table21[[#This Row],[Redbook WAC price per unit (Jul 2021)]] * 1.06</f>
        <v>434918</v>
      </c>
      <c r="BV7" s="463" t="s">
        <v>1540</v>
      </c>
      <c r="BW7" t="s">
        <v>2815</v>
      </c>
      <c r="BX7" t="s">
        <v>2835</v>
      </c>
      <c r="BY7" t="s">
        <v>2816</v>
      </c>
      <c r="BZ7" s="59">
        <f>492360/1.2</f>
        <v>410300</v>
      </c>
      <c r="CA7" s="59">
        <f>Table21[[#This Row],[Redbook WAC price per unit (Jan 2022)]] * 1.06</f>
        <v>434918</v>
      </c>
      <c r="CB7" s="463" t="s">
        <v>1540</v>
      </c>
      <c r="CC7" t="s">
        <v>2815</v>
      </c>
      <c r="CD7" t="s">
        <v>2835</v>
      </c>
      <c r="CE7" t="s">
        <v>2816</v>
      </c>
      <c r="CF7" s="59">
        <f>492360/1.2</f>
        <v>410300</v>
      </c>
      <c r="CG7" s="59">
        <f>Table21[[#This Row],[Redbook WAC price per unit (Jul 2022)]] * 1.06</f>
        <v>434918</v>
      </c>
      <c r="CH7" s="463" t="s">
        <v>1540</v>
      </c>
      <c r="CI7" t="s">
        <v>2815</v>
      </c>
      <c r="CJ7" t="s">
        <v>2835</v>
      </c>
      <c r="CK7" t="s">
        <v>2816</v>
      </c>
      <c r="CL7" s="59">
        <f>492360/1.2</f>
        <v>410300</v>
      </c>
      <c r="CM7" s="59">
        <f>Table21[[#This Row],[Redbook WAC price per unit (Jan 2023)]] * 1.06</f>
        <v>434918</v>
      </c>
      <c r="CN7" s="463" t="s">
        <v>1540</v>
      </c>
      <c r="CO7" t="s">
        <v>2815</v>
      </c>
      <c r="CP7" t="s">
        <v>2835</v>
      </c>
      <c r="CQ7" t="s">
        <v>2816</v>
      </c>
      <c r="CR7" s="59">
        <v>447226.98333333334</v>
      </c>
      <c r="CS7" s="59">
        <f>Table21[[#This Row],[Redbook WAC price per unit (Jul 2023)]] * 1.06</f>
        <v>474060.60233333334</v>
      </c>
      <c r="CT7" t="s">
        <v>2800</v>
      </c>
      <c r="CU7" t="s">
        <v>2817</v>
      </c>
    </row>
    <row r="8" spans="1:99" x14ac:dyDescent="0.3">
      <c r="A8" t="s">
        <v>77</v>
      </c>
      <c r="B8" s="431" t="s">
        <v>2854</v>
      </c>
      <c r="C8" s="431" t="s">
        <v>2859</v>
      </c>
      <c r="D8" s="431" t="s">
        <v>1536</v>
      </c>
      <c r="E8" s="431" t="s">
        <v>2855</v>
      </c>
      <c r="F8" s="446">
        <v>2447.3166999999999</v>
      </c>
      <c r="G8" s="446">
        <f>Table21[[#This Row],[Redbook WAC price per unit (Jan 2016)]] * 1.06</f>
        <v>2594.155702</v>
      </c>
      <c r="H8" s="432" t="s">
        <v>2856</v>
      </c>
      <c r="I8" t="s">
        <v>2859</v>
      </c>
      <c r="J8" s="431" t="s">
        <v>1536</v>
      </c>
      <c r="K8" t="s">
        <v>2855</v>
      </c>
      <c r="L8" s="59">
        <v>2894</v>
      </c>
      <c r="M8" s="285">
        <f>Table21[[#This Row],[Redbook WAC price per unit (Jul 2016)]] * 1.06</f>
        <v>3067.6400000000003</v>
      </c>
      <c r="N8" t="s">
        <v>2856</v>
      </c>
      <c r="O8" t="s">
        <v>2859</v>
      </c>
      <c r="P8" s="431" t="s">
        <v>1536</v>
      </c>
      <c r="Q8" t="s">
        <v>2855</v>
      </c>
      <c r="R8" s="59">
        <v>2894</v>
      </c>
      <c r="S8" s="285">
        <f>Table21[[#This Row],[Redbook WAC price per unit (Jan 2017)]] * 1.06</f>
        <v>3067.6400000000003</v>
      </c>
      <c r="T8" t="s">
        <v>2856</v>
      </c>
      <c r="U8" t="s">
        <v>2859</v>
      </c>
      <c r="V8" s="431" t="s">
        <v>1536</v>
      </c>
      <c r="W8" t="s">
        <v>2855</v>
      </c>
      <c r="X8" s="59">
        <v>3394.7</v>
      </c>
      <c r="Y8" s="285">
        <f>Table21[[#This Row],[Redbook WAC price per unit (Jul 2017)]] * 1.06</f>
        <v>3598.3820000000001</v>
      </c>
      <c r="Z8" t="s">
        <v>2856</v>
      </c>
      <c r="AA8" t="s">
        <v>2859</v>
      </c>
      <c r="AB8" s="431" t="s">
        <v>1536</v>
      </c>
      <c r="AC8" t="s">
        <v>2855</v>
      </c>
      <c r="AD8" s="59">
        <v>3903.9167000000002</v>
      </c>
      <c r="AE8" s="450">
        <f>Table21[[#This Row],[Redbook WAC price per unit (Jan 2018)]] * 1.06</f>
        <v>4138.1517020000001</v>
      </c>
      <c r="AF8" t="s">
        <v>2856</v>
      </c>
      <c r="AG8" t="s">
        <v>2859</v>
      </c>
      <c r="AH8" s="431" t="s">
        <v>1536</v>
      </c>
      <c r="AI8" t="s">
        <v>2855</v>
      </c>
      <c r="AJ8" s="59">
        <v>3903.9167000000002</v>
      </c>
      <c r="AK8" s="450">
        <f>Table21[[#This Row],[Redbook WAC price per unit (Jul 2018)]] * 1.06</f>
        <v>4138.1517020000001</v>
      </c>
      <c r="AL8" t="s">
        <v>2856</v>
      </c>
      <c r="AM8" t="s">
        <v>2859</v>
      </c>
      <c r="AN8" s="431" t="s">
        <v>1536</v>
      </c>
      <c r="AO8" t="s">
        <v>2855</v>
      </c>
      <c r="AP8" s="59">
        <v>3903.9167000000002</v>
      </c>
      <c r="AQ8" s="450">
        <f>Table21[[#This Row],[Redbook WAC price per unit (Jan 2019)]] * 1.06</f>
        <v>4138.1517020000001</v>
      </c>
      <c r="AR8" t="s">
        <v>2856</v>
      </c>
      <c r="AS8" t="s">
        <v>2859</v>
      </c>
      <c r="AT8" s="431" t="s">
        <v>1536</v>
      </c>
      <c r="AU8" t="s">
        <v>2855</v>
      </c>
      <c r="AV8" s="59">
        <v>3903.9167000000002</v>
      </c>
      <c r="AW8" s="450">
        <f>Table21[[#This Row],[Redbook WAC price per unit (Jul 2019)]] * 1.06</f>
        <v>4138.1517020000001</v>
      </c>
      <c r="AX8" t="s">
        <v>2856</v>
      </c>
      <c r="AY8" s="343" t="s">
        <v>2859</v>
      </c>
      <c r="AZ8" s="431" t="s">
        <v>1536</v>
      </c>
      <c r="BA8" t="s">
        <v>2855</v>
      </c>
      <c r="BB8" s="59">
        <v>3903.9167000000002</v>
      </c>
      <c r="BC8" s="450">
        <f>Table21[[#This Row],[Redbook WAC price per unit (Jan 2020)]] * 1.06</f>
        <v>4138.1517020000001</v>
      </c>
      <c r="BD8" t="s">
        <v>2856</v>
      </c>
      <c r="BE8" s="143" t="s">
        <v>2862</v>
      </c>
      <c r="BF8" s="431" t="s">
        <v>1536</v>
      </c>
      <c r="BG8" t="s">
        <v>2855</v>
      </c>
      <c r="BH8" s="59">
        <v>4683.6000000000004</v>
      </c>
      <c r="BI8" s="450">
        <f>Table21[[#This Row],[Redbook WAC price per unit (Jul 2020)]] * 1.06</f>
        <v>4964.6160000000009</v>
      </c>
      <c r="BJ8" t="s">
        <v>2856</v>
      </c>
      <c r="BK8" t="s">
        <v>2862</v>
      </c>
      <c r="BL8" s="1" t="s">
        <v>1536</v>
      </c>
      <c r="BM8" t="s">
        <v>2855</v>
      </c>
      <c r="BN8" s="59">
        <v>4683.6000000000004</v>
      </c>
      <c r="BO8" s="197">
        <f>Table21[[#This Row],[Redbook WAC price per unit (Jan 2021)]] * 1.06</f>
        <v>4964.6160000000009</v>
      </c>
      <c r="BP8" t="s">
        <v>2856</v>
      </c>
      <c r="BQ8" t="s">
        <v>2862</v>
      </c>
      <c r="BR8" s="1" t="s">
        <v>1536</v>
      </c>
      <c r="BS8" t="s">
        <v>2855</v>
      </c>
      <c r="BT8" s="59">
        <v>4683.6000000000004</v>
      </c>
      <c r="BU8" s="197">
        <f>Table21[[#This Row],[Redbook WAC price per unit (Jul 2021)]] * 1.06</f>
        <v>4964.6160000000009</v>
      </c>
      <c r="BV8" t="s">
        <v>2856</v>
      </c>
      <c r="BW8" t="s">
        <v>2862</v>
      </c>
      <c r="BX8" s="1" t="s">
        <v>1536</v>
      </c>
      <c r="BY8" t="s">
        <v>2855</v>
      </c>
      <c r="BZ8" s="59">
        <v>4683.6000000000004</v>
      </c>
      <c r="CA8" s="197">
        <f>Table21[[#This Row],[Redbook WAC price per unit (Jan 2022)]] * 1.06</f>
        <v>4964.6160000000009</v>
      </c>
      <c r="CB8" t="s">
        <v>2856</v>
      </c>
      <c r="CC8" t="s">
        <v>2862</v>
      </c>
      <c r="CD8" s="1" t="s">
        <v>1536</v>
      </c>
      <c r="CE8" t="s">
        <v>2855</v>
      </c>
      <c r="CF8" s="59">
        <v>4683.6000000000004</v>
      </c>
      <c r="CG8" s="197">
        <f>Table21[[#This Row],[Redbook WAC price per unit (Jul 2022)]] * 1.06</f>
        <v>4964.6160000000009</v>
      </c>
      <c r="CH8" t="s">
        <v>2856</v>
      </c>
      <c r="CI8" t="s">
        <v>2862</v>
      </c>
      <c r="CJ8" s="1" t="s">
        <v>1536</v>
      </c>
      <c r="CK8" t="s">
        <v>2855</v>
      </c>
      <c r="CL8" s="59">
        <v>4683.6000000000004</v>
      </c>
      <c r="CM8" s="197">
        <f>Table21[[#This Row],[Redbook WAC price per unit (Jan 2023)]] * 1.06</f>
        <v>4964.6160000000009</v>
      </c>
      <c r="CN8" t="s">
        <v>2856</v>
      </c>
      <c r="CO8" t="s">
        <v>2862</v>
      </c>
      <c r="CP8" s="1" t="s">
        <v>1536</v>
      </c>
      <c r="CQ8" t="s">
        <v>2855</v>
      </c>
      <c r="CR8" s="59">
        <v>4683.6000000000004</v>
      </c>
      <c r="CS8" s="197">
        <f>Table21[[#This Row],[Redbook WAC price per unit (Jul 2023)]] * 1.06</f>
        <v>4964.6160000000009</v>
      </c>
      <c r="CT8" t="s">
        <v>2856</v>
      </c>
      <c r="CU8" t="s">
        <v>2863</v>
      </c>
    </row>
    <row r="9" spans="1:99" x14ac:dyDescent="0.3">
      <c r="A9" t="s">
        <v>80</v>
      </c>
      <c r="B9" s="466" t="s">
        <v>2854</v>
      </c>
      <c r="C9" s="466" t="s">
        <v>2859</v>
      </c>
      <c r="D9" s="466" t="s">
        <v>1536</v>
      </c>
      <c r="E9" s="466" t="s">
        <v>2855</v>
      </c>
      <c r="F9" s="446">
        <v>2447.3166999999999</v>
      </c>
      <c r="G9" s="468">
        <f>Table21[[#This Row],[Redbook WAC price per unit (Jan 2016)]] * 1.06</f>
        <v>2594.155702</v>
      </c>
      <c r="H9" s="467" t="s">
        <v>2856</v>
      </c>
      <c r="I9" t="s">
        <v>2859</v>
      </c>
      <c r="J9" s="466" t="s">
        <v>1536</v>
      </c>
      <c r="K9" t="s">
        <v>2855</v>
      </c>
      <c r="L9" s="59">
        <v>2894</v>
      </c>
      <c r="M9" s="285">
        <f>Table21[[#This Row],[Redbook WAC price per unit (Jul 2016)]] * 1.06</f>
        <v>3067.6400000000003</v>
      </c>
      <c r="N9" t="s">
        <v>2856</v>
      </c>
      <c r="O9" t="s">
        <v>2859</v>
      </c>
      <c r="P9" s="466" t="s">
        <v>1536</v>
      </c>
      <c r="Q9" t="s">
        <v>2855</v>
      </c>
      <c r="R9" s="59">
        <v>2894</v>
      </c>
      <c r="S9" s="285">
        <f>Table21[[#This Row],[Redbook WAC price per unit (Jan 2017)]] * 1.06</f>
        <v>3067.6400000000003</v>
      </c>
      <c r="T9" t="s">
        <v>2856</v>
      </c>
      <c r="U9" t="s">
        <v>2859</v>
      </c>
      <c r="V9" s="466" t="s">
        <v>1536</v>
      </c>
      <c r="W9" t="s">
        <v>2855</v>
      </c>
      <c r="X9" s="59">
        <v>3394.7</v>
      </c>
      <c r="Y9" s="285">
        <f>Table21[[#This Row],[Redbook WAC price per unit (Jul 2017)]] * 1.06</f>
        <v>3598.3820000000001</v>
      </c>
      <c r="Z9" t="s">
        <v>2856</v>
      </c>
      <c r="AA9" t="s">
        <v>2859</v>
      </c>
      <c r="AB9" s="466" t="s">
        <v>1536</v>
      </c>
      <c r="AC9" t="s">
        <v>2855</v>
      </c>
      <c r="AD9" s="59">
        <v>3903.9167000000002</v>
      </c>
      <c r="AE9" s="468">
        <f>Table21[[#This Row],[Redbook WAC price per unit (Jan 2018)]] * 1.06</f>
        <v>4138.1517020000001</v>
      </c>
      <c r="AF9" t="s">
        <v>2856</v>
      </c>
      <c r="AG9" t="s">
        <v>2859</v>
      </c>
      <c r="AH9" s="466" t="s">
        <v>1536</v>
      </c>
      <c r="AI9" t="s">
        <v>2855</v>
      </c>
      <c r="AJ9" s="59">
        <v>3903.9167000000002</v>
      </c>
      <c r="AK9" s="468">
        <f>Table21[[#This Row],[Redbook WAC price per unit (Jul 2018)]] * 1.06</f>
        <v>4138.1517020000001</v>
      </c>
      <c r="AL9" t="s">
        <v>2856</v>
      </c>
      <c r="AM9" t="s">
        <v>2859</v>
      </c>
      <c r="AN9" s="466" t="s">
        <v>1536</v>
      </c>
      <c r="AO9" t="s">
        <v>2855</v>
      </c>
      <c r="AP9" s="59">
        <v>3903.9167000000002</v>
      </c>
      <c r="AQ9" s="468">
        <f>Table21[[#This Row],[Redbook WAC price per unit (Jan 2019)]] * 1.06</f>
        <v>4138.1517020000001</v>
      </c>
      <c r="AR9" t="s">
        <v>2856</v>
      </c>
      <c r="AS9" t="s">
        <v>2859</v>
      </c>
      <c r="AT9" s="466" t="s">
        <v>1536</v>
      </c>
      <c r="AU9" t="s">
        <v>2855</v>
      </c>
      <c r="AV9" s="59">
        <v>3903.9167000000002</v>
      </c>
      <c r="AW9" s="468">
        <f>Table21[[#This Row],[Redbook WAC price per unit (Jul 2019)]] * 1.06</f>
        <v>4138.1517020000001</v>
      </c>
      <c r="AX9" t="s">
        <v>2856</v>
      </c>
      <c r="AY9" s="343" t="s">
        <v>2859</v>
      </c>
      <c r="AZ9" s="466" t="s">
        <v>1536</v>
      </c>
      <c r="BA9" t="s">
        <v>2855</v>
      </c>
      <c r="BB9" s="59">
        <v>3903.9167000000002</v>
      </c>
      <c r="BC9" s="468">
        <f>Table21[[#This Row],[Redbook WAC price per unit (Jan 2020)]] * 1.06</f>
        <v>4138.1517020000001</v>
      </c>
      <c r="BD9" t="s">
        <v>2856</v>
      </c>
      <c r="BE9" s="143" t="s">
        <v>2862</v>
      </c>
      <c r="BF9" s="431" t="s">
        <v>1536</v>
      </c>
      <c r="BG9" t="s">
        <v>2855</v>
      </c>
      <c r="BH9" s="59">
        <v>4683.6000000000004</v>
      </c>
      <c r="BI9" s="468">
        <f>Table21[[#This Row],[Redbook WAC price per unit (Jul 2020)]] * 1.06</f>
        <v>4964.6160000000009</v>
      </c>
      <c r="BJ9" t="s">
        <v>2856</v>
      </c>
      <c r="BK9" t="s">
        <v>2862</v>
      </c>
      <c r="BL9" s="1" t="s">
        <v>1536</v>
      </c>
      <c r="BM9" t="s">
        <v>2855</v>
      </c>
      <c r="BN9" s="59">
        <v>4683.6000000000004</v>
      </c>
      <c r="BO9" s="197">
        <f>Table21[[#This Row],[Redbook WAC price per unit (Jan 2021)]] * 1.06</f>
        <v>4964.6160000000009</v>
      </c>
      <c r="BP9" t="s">
        <v>2856</v>
      </c>
      <c r="BQ9" t="s">
        <v>2862</v>
      </c>
      <c r="BR9" s="1" t="s">
        <v>1536</v>
      </c>
      <c r="BS9" t="s">
        <v>2855</v>
      </c>
      <c r="BT9" s="59">
        <v>4683.6000000000004</v>
      </c>
      <c r="BU9" s="197">
        <f>Table21[[#This Row],[Redbook WAC price per unit (Jul 2021)]] * 1.06</f>
        <v>4964.6160000000009</v>
      </c>
      <c r="BV9" t="s">
        <v>2856</v>
      </c>
      <c r="BW9" t="s">
        <v>2862</v>
      </c>
      <c r="BX9" s="1" t="s">
        <v>1536</v>
      </c>
      <c r="BY9" t="s">
        <v>2855</v>
      </c>
      <c r="BZ9" s="59">
        <v>4683.6000000000004</v>
      </c>
      <c r="CA9" s="197">
        <f>Table21[[#This Row],[Redbook WAC price per unit (Jan 2022)]] * 1.06</f>
        <v>4964.6160000000009</v>
      </c>
      <c r="CB9" t="s">
        <v>2856</v>
      </c>
      <c r="CC9" t="s">
        <v>2862</v>
      </c>
      <c r="CD9" s="1" t="s">
        <v>1536</v>
      </c>
      <c r="CE9" t="s">
        <v>2855</v>
      </c>
      <c r="CF9" s="59">
        <v>4683.6000000000004</v>
      </c>
      <c r="CG9" s="197">
        <f>Table21[[#This Row],[Redbook WAC price per unit (Jul 2022)]] * 1.06</f>
        <v>4964.6160000000009</v>
      </c>
      <c r="CH9" t="s">
        <v>2856</v>
      </c>
      <c r="CI9" t="s">
        <v>2862</v>
      </c>
      <c r="CJ9" s="1" t="s">
        <v>1536</v>
      </c>
      <c r="CK9" t="s">
        <v>2855</v>
      </c>
      <c r="CL9" s="59">
        <v>4683.6000000000004</v>
      </c>
      <c r="CM9" s="197">
        <f>Table21[[#This Row],[Redbook WAC price per unit (Jan 2023)]] * 1.06</f>
        <v>4964.6160000000009</v>
      </c>
      <c r="CN9" t="s">
        <v>2856</v>
      </c>
      <c r="CO9" t="s">
        <v>2862</v>
      </c>
      <c r="CP9" s="1" t="s">
        <v>1536</v>
      </c>
      <c r="CQ9" t="s">
        <v>2855</v>
      </c>
      <c r="CR9" s="59">
        <v>4683.6000000000004</v>
      </c>
      <c r="CS9" s="197">
        <f>Table21[[#This Row],[Redbook WAC price per unit (Jul 2023)]] * 1.06</f>
        <v>4964.6160000000009</v>
      </c>
      <c r="CT9" t="s">
        <v>2856</v>
      </c>
      <c r="CU9" t="s">
        <v>2863</v>
      </c>
    </row>
  </sheetData>
  <conditionalFormatting sqref="A1:B2">
    <cfRule type="duplicateValues" dxfId="18" priority="1"/>
  </conditionalFormatting>
  <conditionalFormatting sqref="A2:B2">
    <cfRule type="duplicateValues" dxfId="17" priority="2"/>
  </conditionalFormatting>
  <pageMargins left="0.7" right="0.7" top="0.75" bottom="0.75" header="0.3" footer="0.3"/>
  <pageSetup orientation="portrait" horizontalDpi="90" verticalDpi="9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5FFDC-3A0C-47B1-B9DC-2876C3CE8735}">
  <dimension ref="A1:E539"/>
  <sheetViews>
    <sheetView workbookViewId="0">
      <pane ySplit="1" topLeftCell="A375" activePane="bottomLeft" state="frozen"/>
      <selection pane="bottomLeft" activeCell="B412" sqref="B412"/>
    </sheetView>
  </sheetViews>
  <sheetFormatPr defaultColWidth="9.21875" defaultRowHeight="13.2" x14ac:dyDescent="0.25"/>
  <cols>
    <col min="1" max="1" width="17" style="320" bestFit="1" customWidth="1"/>
    <col min="2" max="2" width="37.77734375" style="321" bestFit="1" customWidth="1"/>
    <col min="3" max="3" width="32.5546875" style="320" bestFit="1" customWidth="1"/>
    <col min="4" max="4" width="18.44140625" style="322" bestFit="1" customWidth="1"/>
    <col min="5" max="247" width="9.21875" style="310"/>
    <col min="248" max="248" width="13" style="310" customWidth="1"/>
    <col min="249" max="249" width="34.44140625" style="310" customWidth="1"/>
    <col min="250" max="250" width="20.21875" style="310" customWidth="1"/>
    <col min="251" max="251" width="14.77734375" style="310" customWidth="1"/>
    <col min="252" max="252" width="8.5546875" style="310" customWidth="1"/>
    <col min="253" max="253" width="13" style="310" customWidth="1"/>
    <col min="254" max="254" width="8.21875" style="310" customWidth="1"/>
    <col min="255" max="255" width="13.44140625" style="310" customWidth="1"/>
    <col min="256" max="256" width="9.5546875" style="310" customWidth="1"/>
    <col min="257" max="257" width="11.77734375" style="310" customWidth="1"/>
    <col min="258" max="258" width="10.5546875" style="310" customWidth="1"/>
    <col min="259" max="259" width="42" style="310" customWidth="1"/>
    <col min="260" max="503" width="9.21875" style="310"/>
    <col min="504" max="504" width="13" style="310" customWidth="1"/>
    <col min="505" max="505" width="34.44140625" style="310" customWidth="1"/>
    <col min="506" max="506" width="20.21875" style="310" customWidth="1"/>
    <col min="507" max="507" width="14.77734375" style="310" customWidth="1"/>
    <col min="508" max="508" width="8.5546875" style="310" customWidth="1"/>
    <col min="509" max="509" width="13" style="310" customWidth="1"/>
    <col min="510" max="510" width="8.21875" style="310" customWidth="1"/>
    <col min="511" max="511" width="13.44140625" style="310" customWidth="1"/>
    <col min="512" max="512" width="9.5546875" style="310" customWidth="1"/>
    <col min="513" max="513" width="11.77734375" style="310" customWidth="1"/>
    <col min="514" max="514" width="10.5546875" style="310" customWidth="1"/>
    <col min="515" max="515" width="42" style="310" customWidth="1"/>
    <col min="516" max="759" width="9.21875" style="310"/>
    <col min="760" max="760" width="13" style="310" customWidth="1"/>
    <col min="761" max="761" width="34.44140625" style="310" customWidth="1"/>
    <col min="762" max="762" width="20.21875" style="310" customWidth="1"/>
    <col min="763" max="763" width="14.77734375" style="310" customWidth="1"/>
    <col min="764" max="764" width="8.5546875" style="310" customWidth="1"/>
    <col min="765" max="765" width="13" style="310" customWidth="1"/>
    <col min="766" max="766" width="8.21875" style="310" customWidth="1"/>
    <col min="767" max="767" width="13.44140625" style="310" customWidth="1"/>
    <col min="768" max="768" width="9.5546875" style="310" customWidth="1"/>
    <col min="769" max="769" width="11.77734375" style="310" customWidth="1"/>
    <col min="770" max="770" width="10.5546875" style="310" customWidth="1"/>
    <col min="771" max="771" width="42" style="310" customWidth="1"/>
    <col min="772" max="1015" width="9.21875" style="310"/>
    <col min="1016" max="1016" width="13" style="310" customWidth="1"/>
    <col min="1017" max="1017" width="34.44140625" style="310" customWidth="1"/>
    <col min="1018" max="1018" width="20.21875" style="310" customWidth="1"/>
    <col min="1019" max="1019" width="14.77734375" style="310" customWidth="1"/>
    <col min="1020" max="1020" width="8.5546875" style="310" customWidth="1"/>
    <col min="1021" max="1021" width="13" style="310" customWidth="1"/>
    <col min="1022" max="1022" width="8.21875" style="310" customWidth="1"/>
    <col min="1023" max="1023" width="13.44140625" style="310" customWidth="1"/>
    <col min="1024" max="1024" width="9.5546875" style="310" customWidth="1"/>
    <col min="1025" max="1025" width="11.77734375" style="310" customWidth="1"/>
    <col min="1026" max="1026" width="10.5546875" style="310" customWidth="1"/>
    <col min="1027" max="1027" width="42" style="310" customWidth="1"/>
    <col min="1028" max="1271" width="9.21875" style="310"/>
    <col min="1272" max="1272" width="13" style="310" customWidth="1"/>
    <col min="1273" max="1273" width="34.44140625" style="310" customWidth="1"/>
    <col min="1274" max="1274" width="20.21875" style="310" customWidth="1"/>
    <col min="1275" max="1275" width="14.77734375" style="310" customWidth="1"/>
    <col min="1276" max="1276" width="8.5546875" style="310" customWidth="1"/>
    <col min="1277" max="1277" width="13" style="310" customWidth="1"/>
    <col min="1278" max="1278" width="8.21875" style="310" customWidth="1"/>
    <col min="1279" max="1279" width="13.44140625" style="310" customWidth="1"/>
    <col min="1280" max="1280" width="9.5546875" style="310" customWidth="1"/>
    <col min="1281" max="1281" width="11.77734375" style="310" customWidth="1"/>
    <col min="1282" max="1282" width="10.5546875" style="310" customWidth="1"/>
    <col min="1283" max="1283" width="42" style="310" customWidth="1"/>
    <col min="1284" max="1527" width="9.21875" style="310"/>
    <col min="1528" max="1528" width="13" style="310" customWidth="1"/>
    <col min="1529" max="1529" width="34.44140625" style="310" customWidth="1"/>
    <col min="1530" max="1530" width="20.21875" style="310" customWidth="1"/>
    <col min="1531" max="1531" width="14.77734375" style="310" customWidth="1"/>
    <col min="1532" max="1532" width="8.5546875" style="310" customWidth="1"/>
    <col min="1533" max="1533" width="13" style="310" customWidth="1"/>
    <col min="1534" max="1534" width="8.21875" style="310" customWidth="1"/>
    <col min="1535" max="1535" width="13.44140625" style="310" customWidth="1"/>
    <col min="1536" max="1536" width="9.5546875" style="310" customWidth="1"/>
    <col min="1537" max="1537" width="11.77734375" style="310" customWidth="1"/>
    <col min="1538" max="1538" width="10.5546875" style="310" customWidth="1"/>
    <col min="1539" max="1539" width="42" style="310" customWidth="1"/>
    <col min="1540" max="1783" width="9.21875" style="310"/>
    <col min="1784" max="1784" width="13" style="310" customWidth="1"/>
    <col min="1785" max="1785" width="34.44140625" style="310" customWidth="1"/>
    <col min="1786" max="1786" width="20.21875" style="310" customWidth="1"/>
    <col min="1787" max="1787" width="14.77734375" style="310" customWidth="1"/>
    <col min="1788" max="1788" width="8.5546875" style="310" customWidth="1"/>
    <col min="1789" max="1789" width="13" style="310" customWidth="1"/>
    <col min="1790" max="1790" width="8.21875" style="310" customWidth="1"/>
    <col min="1791" max="1791" width="13.44140625" style="310" customWidth="1"/>
    <col min="1792" max="1792" width="9.5546875" style="310" customWidth="1"/>
    <col min="1793" max="1793" width="11.77734375" style="310" customWidth="1"/>
    <col min="1794" max="1794" width="10.5546875" style="310" customWidth="1"/>
    <col min="1795" max="1795" width="42" style="310" customWidth="1"/>
    <col min="1796" max="2039" width="9.21875" style="310"/>
    <col min="2040" max="2040" width="13" style="310" customWidth="1"/>
    <col min="2041" max="2041" width="34.44140625" style="310" customWidth="1"/>
    <col min="2042" max="2042" width="20.21875" style="310" customWidth="1"/>
    <col min="2043" max="2043" width="14.77734375" style="310" customWidth="1"/>
    <col min="2044" max="2044" width="8.5546875" style="310" customWidth="1"/>
    <col min="2045" max="2045" width="13" style="310" customWidth="1"/>
    <col min="2046" max="2046" width="8.21875" style="310" customWidth="1"/>
    <col min="2047" max="2047" width="13.44140625" style="310" customWidth="1"/>
    <col min="2048" max="2048" width="9.5546875" style="310" customWidth="1"/>
    <col min="2049" max="2049" width="11.77734375" style="310" customWidth="1"/>
    <col min="2050" max="2050" width="10.5546875" style="310" customWidth="1"/>
    <col min="2051" max="2051" width="42" style="310" customWidth="1"/>
    <col min="2052" max="2295" width="9.21875" style="310"/>
    <col min="2296" max="2296" width="13" style="310" customWidth="1"/>
    <col min="2297" max="2297" width="34.44140625" style="310" customWidth="1"/>
    <col min="2298" max="2298" width="20.21875" style="310" customWidth="1"/>
    <col min="2299" max="2299" width="14.77734375" style="310" customWidth="1"/>
    <col min="2300" max="2300" width="8.5546875" style="310" customWidth="1"/>
    <col min="2301" max="2301" width="13" style="310" customWidth="1"/>
    <col min="2302" max="2302" width="8.21875" style="310" customWidth="1"/>
    <col min="2303" max="2303" width="13.44140625" style="310" customWidth="1"/>
    <col min="2304" max="2304" width="9.5546875" style="310" customWidth="1"/>
    <col min="2305" max="2305" width="11.77734375" style="310" customWidth="1"/>
    <col min="2306" max="2306" width="10.5546875" style="310" customWidth="1"/>
    <col min="2307" max="2307" width="42" style="310" customWidth="1"/>
    <col min="2308" max="2551" width="9.21875" style="310"/>
    <col min="2552" max="2552" width="13" style="310" customWidth="1"/>
    <col min="2553" max="2553" width="34.44140625" style="310" customWidth="1"/>
    <col min="2554" max="2554" width="20.21875" style="310" customWidth="1"/>
    <col min="2555" max="2555" width="14.77734375" style="310" customWidth="1"/>
    <col min="2556" max="2556" width="8.5546875" style="310" customWidth="1"/>
    <col min="2557" max="2557" width="13" style="310" customWidth="1"/>
    <col min="2558" max="2558" width="8.21875" style="310" customWidth="1"/>
    <col min="2559" max="2559" width="13.44140625" style="310" customWidth="1"/>
    <col min="2560" max="2560" width="9.5546875" style="310" customWidth="1"/>
    <col min="2561" max="2561" width="11.77734375" style="310" customWidth="1"/>
    <col min="2562" max="2562" width="10.5546875" style="310" customWidth="1"/>
    <col min="2563" max="2563" width="42" style="310" customWidth="1"/>
    <col min="2564" max="2807" width="9.21875" style="310"/>
    <col min="2808" max="2808" width="13" style="310" customWidth="1"/>
    <col min="2809" max="2809" width="34.44140625" style="310" customWidth="1"/>
    <col min="2810" max="2810" width="20.21875" style="310" customWidth="1"/>
    <col min="2811" max="2811" width="14.77734375" style="310" customWidth="1"/>
    <col min="2812" max="2812" width="8.5546875" style="310" customWidth="1"/>
    <col min="2813" max="2813" width="13" style="310" customWidth="1"/>
    <col min="2814" max="2814" width="8.21875" style="310" customWidth="1"/>
    <col min="2815" max="2815" width="13.44140625" style="310" customWidth="1"/>
    <col min="2816" max="2816" width="9.5546875" style="310" customWidth="1"/>
    <col min="2817" max="2817" width="11.77734375" style="310" customWidth="1"/>
    <col min="2818" max="2818" width="10.5546875" style="310" customWidth="1"/>
    <col min="2819" max="2819" width="42" style="310" customWidth="1"/>
    <col min="2820" max="3063" width="9.21875" style="310"/>
    <col min="3064" max="3064" width="13" style="310" customWidth="1"/>
    <col min="3065" max="3065" width="34.44140625" style="310" customWidth="1"/>
    <col min="3066" max="3066" width="20.21875" style="310" customWidth="1"/>
    <col min="3067" max="3067" width="14.77734375" style="310" customWidth="1"/>
    <col min="3068" max="3068" width="8.5546875" style="310" customWidth="1"/>
    <col min="3069" max="3069" width="13" style="310" customWidth="1"/>
    <col min="3070" max="3070" width="8.21875" style="310" customWidth="1"/>
    <col min="3071" max="3071" width="13.44140625" style="310" customWidth="1"/>
    <col min="3072" max="3072" width="9.5546875" style="310" customWidth="1"/>
    <col min="3073" max="3073" width="11.77734375" style="310" customWidth="1"/>
    <col min="3074" max="3074" width="10.5546875" style="310" customWidth="1"/>
    <col min="3075" max="3075" width="42" style="310" customWidth="1"/>
    <col min="3076" max="3319" width="9.21875" style="310"/>
    <col min="3320" max="3320" width="13" style="310" customWidth="1"/>
    <col min="3321" max="3321" width="34.44140625" style="310" customWidth="1"/>
    <col min="3322" max="3322" width="20.21875" style="310" customWidth="1"/>
    <col min="3323" max="3323" width="14.77734375" style="310" customWidth="1"/>
    <col min="3324" max="3324" width="8.5546875" style="310" customWidth="1"/>
    <col min="3325" max="3325" width="13" style="310" customWidth="1"/>
    <col min="3326" max="3326" width="8.21875" style="310" customWidth="1"/>
    <col min="3327" max="3327" width="13.44140625" style="310" customWidth="1"/>
    <col min="3328" max="3328" width="9.5546875" style="310" customWidth="1"/>
    <col min="3329" max="3329" width="11.77734375" style="310" customWidth="1"/>
    <col min="3330" max="3330" width="10.5546875" style="310" customWidth="1"/>
    <col min="3331" max="3331" width="42" style="310" customWidth="1"/>
    <col min="3332" max="3575" width="9.21875" style="310"/>
    <col min="3576" max="3576" width="13" style="310" customWidth="1"/>
    <col min="3577" max="3577" width="34.44140625" style="310" customWidth="1"/>
    <col min="3578" max="3578" width="20.21875" style="310" customWidth="1"/>
    <col min="3579" max="3579" width="14.77734375" style="310" customWidth="1"/>
    <col min="3580" max="3580" width="8.5546875" style="310" customWidth="1"/>
    <col min="3581" max="3581" width="13" style="310" customWidth="1"/>
    <col min="3582" max="3582" width="8.21875" style="310" customWidth="1"/>
    <col min="3583" max="3583" width="13.44140625" style="310" customWidth="1"/>
    <col min="3584" max="3584" width="9.5546875" style="310" customWidth="1"/>
    <col min="3585" max="3585" width="11.77734375" style="310" customWidth="1"/>
    <col min="3586" max="3586" width="10.5546875" style="310" customWidth="1"/>
    <col min="3587" max="3587" width="42" style="310" customWidth="1"/>
    <col min="3588" max="3831" width="9.21875" style="310"/>
    <col min="3832" max="3832" width="13" style="310" customWidth="1"/>
    <col min="3833" max="3833" width="34.44140625" style="310" customWidth="1"/>
    <col min="3834" max="3834" width="20.21875" style="310" customWidth="1"/>
    <col min="3835" max="3835" width="14.77734375" style="310" customWidth="1"/>
    <col min="3836" max="3836" width="8.5546875" style="310" customWidth="1"/>
    <col min="3837" max="3837" width="13" style="310" customWidth="1"/>
    <col min="3838" max="3838" width="8.21875" style="310" customWidth="1"/>
    <col min="3839" max="3839" width="13.44140625" style="310" customWidth="1"/>
    <col min="3840" max="3840" width="9.5546875" style="310" customWidth="1"/>
    <col min="3841" max="3841" width="11.77734375" style="310" customWidth="1"/>
    <col min="3842" max="3842" width="10.5546875" style="310" customWidth="1"/>
    <col min="3843" max="3843" width="42" style="310" customWidth="1"/>
    <col min="3844" max="4087" width="9.21875" style="310"/>
    <col min="4088" max="4088" width="13" style="310" customWidth="1"/>
    <col min="4089" max="4089" width="34.44140625" style="310" customWidth="1"/>
    <col min="4090" max="4090" width="20.21875" style="310" customWidth="1"/>
    <col min="4091" max="4091" width="14.77734375" style="310" customWidth="1"/>
    <col min="4092" max="4092" width="8.5546875" style="310" customWidth="1"/>
    <col min="4093" max="4093" width="13" style="310" customWidth="1"/>
    <col min="4094" max="4094" width="8.21875" style="310" customWidth="1"/>
    <col min="4095" max="4095" width="13.44140625" style="310" customWidth="1"/>
    <col min="4096" max="4096" width="9.5546875" style="310" customWidth="1"/>
    <col min="4097" max="4097" width="11.77734375" style="310" customWidth="1"/>
    <col min="4098" max="4098" width="10.5546875" style="310" customWidth="1"/>
    <col min="4099" max="4099" width="42" style="310" customWidth="1"/>
    <col min="4100" max="4343" width="9.21875" style="310"/>
    <col min="4344" max="4344" width="13" style="310" customWidth="1"/>
    <col min="4345" max="4345" width="34.44140625" style="310" customWidth="1"/>
    <col min="4346" max="4346" width="20.21875" style="310" customWidth="1"/>
    <col min="4347" max="4347" width="14.77734375" style="310" customWidth="1"/>
    <col min="4348" max="4348" width="8.5546875" style="310" customWidth="1"/>
    <col min="4349" max="4349" width="13" style="310" customWidth="1"/>
    <col min="4350" max="4350" width="8.21875" style="310" customWidth="1"/>
    <col min="4351" max="4351" width="13.44140625" style="310" customWidth="1"/>
    <col min="4352" max="4352" width="9.5546875" style="310" customWidth="1"/>
    <col min="4353" max="4353" width="11.77734375" style="310" customWidth="1"/>
    <col min="4354" max="4354" width="10.5546875" style="310" customWidth="1"/>
    <col min="4355" max="4355" width="42" style="310" customWidth="1"/>
    <col min="4356" max="4599" width="9.21875" style="310"/>
    <col min="4600" max="4600" width="13" style="310" customWidth="1"/>
    <col min="4601" max="4601" width="34.44140625" style="310" customWidth="1"/>
    <col min="4602" max="4602" width="20.21875" style="310" customWidth="1"/>
    <col min="4603" max="4603" width="14.77734375" style="310" customWidth="1"/>
    <col min="4604" max="4604" width="8.5546875" style="310" customWidth="1"/>
    <col min="4605" max="4605" width="13" style="310" customWidth="1"/>
    <col min="4606" max="4606" width="8.21875" style="310" customWidth="1"/>
    <col min="4607" max="4607" width="13.44140625" style="310" customWidth="1"/>
    <col min="4608" max="4608" width="9.5546875" style="310" customWidth="1"/>
    <col min="4609" max="4609" width="11.77734375" style="310" customWidth="1"/>
    <col min="4610" max="4610" width="10.5546875" style="310" customWidth="1"/>
    <col min="4611" max="4611" width="42" style="310" customWidth="1"/>
    <col min="4612" max="4855" width="9.21875" style="310"/>
    <col min="4856" max="4856" width="13" style="310" customWidth="1"/>
    <col min="4857" max="4857" width="34.44140625" style="310" customWidth="1"/>
    <col min="4858" max="4858" width="20.21875" style="310" customWidth="1"/>
    <col min="4859" max="4859" width="14.77734375" style="310" customWidth="1"/>
    <col min="4860" max="4860" width="8.5546875" style="310" customWidth="1"/>
    <col min="4861" max="4861" width="13" style="310" customWidth="1"/>
    <col min="4862" max="4862" width="8.21875" style="310" customWidth="1"/>
    <col min="4863" max="4863" width="13.44140625" style="310" customWidth="1"/>
    <col min="4864" max="4864" width="9.5546875" style="310" customWidth="1"/>
    <col min="4865" max="4865" width="11.77734375" style="310" customWidth="1"/>
    <col min="4866" max="4866" width="10.5546875" style="310" customWidth="1"/>
    <col min="4867" max="4867" width="42" style="310" customWidth="1"/>
    <col min="4868" max="5111" width="9.21875" style="310"/>
    <col min="5112" max="5112" width="13" style="310" customWidth="1"/>
    <col min="5113" max="5113" width="34.44140625" style="310" customWidth="1"/>
    <col min="5114" max="5114" width="20.21875" style="310" customWidth="1"/>
    <col min="5115" max="5115" width="14.77734375" style="310" customWidth="1"/>
    <col min="5116" max="5116" width="8.5546875" style="310" customWidth="1"/>
    <col min="5117" max="5117" width="13" style="310" customWidth="1"/>
    <col min="5118" max="5118" width="8.21875" style="310" customWidth="1"/>
    <col min="5119" max="5119" width="13.44140625" style="310" customWidth="1"/>
    <col min="5120" max="5120" width="9.5546875" style="310" customWidth="1"/>
    <col min="5121" max="5121" width="11.77734375" style="310" customWidth="1"/>
    <col min="5122" max="5122" width="10.5546875" style="310" customWidth="1"/>
    <col min="5123" max="5123" width="42" style="310" customWidth="1"/>
    <col min="5124" max="5367" width="9.21875" style="310"/>
    <col min="5368" max="5368" width="13" style="310" customWidth="1"/>
    <col min="5369" max="5369" width="34.44140625" style="310" customWidth="1"/>
    <col min="5370" max="5370" width="20.21875" style="310" customWidth="1"/>
    <col min="5371" max="5371" width="14.77734375" style="310" customWidth="1"/>
    <col min="5372" max="5372" width="8.5546875" style="310" customWidth="1"/>
    <col min="5373" max="5373" width="13" style="310" customWidth="1"/>
    <col min="5374" max="5374" width="8.21875" style="310" customWidth="1"/>
    <col min="5375" max="5375" width="13.44140625" style="310" customWidth="1"/>
    <col min="5376" max="5376" width="9.5546875" style="310" customWidth="1"/>
    <col min="5377" max="5377" width="11.77734375" style="310" customWidth="1"/>
    <col min="5378" max="5378" width="10.5546875" style="310" customWidth="1"/>
    <col min="5379" max="5379" width="42" style="310" customWidth="1"/>
    <col min="5380" max="5623" width="9.21875" style="310"/>
    <col min="5624" max="5624" width="13" style="310" customWidth="1"/>
    <col min="5625" max="5625" width="34.44140625" style="310" customWidth="1"/>
    <col min="5626" max="5626" width="20.21875" style="310" customWidth="1"/>
    <col min="5627" max="5627" width="14.77734375" style="310" customWidth="1"/>
    <col min="5628" max="5628" width="8.5546875" style="310" customWidth="1"/>
    <col min="5629" max="5629" width="13" style="310" customWidth="1"/>
    <col min="5630" max="5630" width="8.21875" style="310" customWidth="1"/>
    <col min="5631" max="5631" width="13.44140625" style="310" customWidth="1"/>
    <col min="5632" max="5632" width="9.5546875" style="310" customWidth="1"/>
    <col min="5633" max="5633" width="11.77734375" style="310" customWidth="1"/>
    <col min="5634" max="5634" width="10.5546875" style="310" customWidth="1"/>
    <col min="5635" max="5635" width="42" style="310" customWidth="1"/>
    <col min="5636" max="5879" width="9.21875" style="310"/>
    <col min="5880" max="5880" width="13" style="310" customWidth="1"/>
    <col min="5881" max="5881" width="34.44140625" style="310" customWidth="1"/>
    <col min="5882" max="5882" width="20.21875" style="310" customWidth="1"/>
    <col min="5883" max="5883" width="14.77734375" style="310" customWidth="1"/>
    <col min="5884" max="5884" width="8.5546875" style="310" customWidth="1"/>
    <col min="5885" max="5885" width="13" style="310" customWidth="1"/>
    <col min="5886" max="5886" width="8.21875" style="310" customWidth="1"/>
    <col min="5887" max="5887" width="13.44140625" style="310" customWidth="1"/>
    <col min="5888" max="5888" width="9.5546875" style="310" customWidth="1"/>
    <col min="5889" max="5889" width="11.77734375" style="310" customWidth="1"/>
    <col min="5890" max="5890" width="10.5546875" style="310" customWidth="1"/>
    <col min="5891" max="5891" width="42" style="310" customWidth="1"/>
    <col min="5892" max="6135" width="9.21875" style="310"/>
    <col min="6136" max="6136" width="13" style="310" customWidth="1"/>
    <col min="6137" max="6137" width="34.44140625" style="310" customWidth="1"/>
    <col min="6138" max="6138" width="20.21875" style="310" customWidth="1"/>
    <col min="6139" max="6139" width="14.77734375" style="310" customWidth="1"/>
    <col min="6140" max="6140" width="8.5546875" style="310" customWidth="1"/>
    <col min="6141" max="6141" width="13" style="310" customWidth="1"/>
    <col min="6142" max="6142" width="8.21875" style="310" customWidth="1"/>
    <col min="6143" max="6143" width="13.44140625" style="310" customWidth="1"/>
    <col min="6144" max="6144" width="9.5546875" style="310" customWidth="1"/>
    <col min="6145" max="6145" width="11.77734375" style="310" customWidth="1"/>
    <col min="6146" max="6146" width="10.5546875" style="310" customWidth="1"/>
    <col min="6147" max="6147" width="42" style="310" customWidth="1"/>
    <col min="6148" max="6391" width="9.21875" style="310"/>
    <col min="6392" max="6392" width="13" style="310" customWidth="1"/>
    <col min="6393" max="6393" width="34.44140625" style="310" customWidth="1"/>
    <col min="6394" max="6394" width="20.21875" style="310" customWidth="1"/>
    <col min="6395" max="6395" width="14.77734375" style="310" customWidth="1"/>
    <col min="6396" max="6396" width="8.5546875" style="310" customWidth="1"/>
    <col min="6397" max="6397" width="13" style="310" customWidth="1"/>
    <col min="6398" max="6398" width="8.21875" style="310" customWidth="1"/>
    <col min="6399" max="6399" width="13.44140625" style="310" customWidth="1"/>
    <col min="6400" max="6400" width="9.5546875" style="310" customWidth="1"/>
    <col min="6401" max="6401" width="11.77734375" style="310" customWidth="1"/>
    <col min="6402" max="6402" width="10.5546875" style="310" customWidth="1"/>
    <col min="6403" max="6403" width="42" style="310" customWidth="1"/>
    <col min="6404" max="6647" width="9.21875" style="310"/>
    <col min="6648" max="6648" width="13" style="310" customWidth="1"/>
    <col min="6649" max="6649" width="34.44140625" style="310" customWidth="1"/>
    <col min="6650" max="6650" width="20.21875" style="310" customWidth="1"/>
    <col min="6651" max="6651" width="14.77734375" style="310" customWidth="1"/>
    <col min="6652" max="6652" width="8.5546875" style="310" customWidth="1"/>
    <col min="6653" max="6653" width="13" style="310" customWidth="1"/>
    <col min="6654" max="6654" width="8.21875" style="310" customWidth="1"/>
    <col min="6655" max="6655" width="13.44140625" style="310" customWidth="1"/>
    <col min="6656" max="6656" width="9.5546875" style="310" customWidth="1"/>
    <col min="6657" max="6657" width="11.77734375" style="310" customWidth="1"/>
    <col min="6658" max="6658" width="10.5546875" style="310" customWidth="1"/>
    <col min="6659" max="6659" width="42" style="310" customWidth="1"/>
    <col min="6660" max="6903" width="9.21875" style="310"/>
    <col min="6904" max="6904" width="13" style="310" customWidth="1"/>
    <col min="6905" max="6905" width="34.44140625" style="310" customWidth="1"/>
    <col min="6906" max="6906" width="20.21875" style="310" customWidth="1"/>
    <col min="6907" max="6907" width="14.77734375" style="310" customWidth="1"/>
    <col min="6908" max="6908" width="8.5546875" style="310" customWidth="1"/>
    <col min="6909" max="6909" width="13" style="310" customWidth="1"/>
    <col min="6910" max="6910" width="8.21875" style="310" customWidth="1"/>
    <col min="6911" max="6911" width="13.44140625" style="310" customWidth="1"/>
    <col min="6912" max="6912" width="9.5546875" style="310" customWidth="1"/>
    <col min="6913" max="6913" width="11.77734375" style="310" customWidth="1"/>
    <col min="6914" max="6914" width="10.5546875" style="310" customWidth="1"/>
    <col min="6915" max="6915" width="42" style="310" customWidth="1"/>
    <col min="6916" max="7159" width="9.21875" style="310"/>
    <col min="7160" max="7160" width="13" style="310" customWidth="1"/>
    <col min="7161" max="7161" width="34.44140625" style="310" customWidth="1"/>
    <col min="7162" max="7162" width="20.21875" style="310" customWidth="1"/>
    <col min="7163" max="7163" width="14.77734375" style="310" customWidth="1"/>
    <col min="7164" max="7164" width="8.5546875" style="310" customWidth="1"/>
    <col min="7165" max="7165" width="13" style="310" customWidth="1"/>
    <col min="7166" max="7166" width="8.21875" style="310" customWidth="1"/>
    <col min="7167" max="7167" width="13.44140625" style="310" customWidth="1"/>
    <col min="7168" max="7168" width="9.5546875" style="310" customWidth="1"/>
    <col min="7169" max="7169" width="11.77734375" style="310" customWidth="1"/>
    <col min="7170" max="7170" width="10.5546875" style="310" customWidth="1"/>
    <col min="7171" max="7171" width="42" style="310" customWidth="1"/>
    <col min="7172" max="7415" width="9.21875" style="310"/>
    <col min="7416" max="7416" width="13" style="310" customWidth="1"/>
    <col min="7417" max="7417" width="34.44140625" style="310" customWidth="1"/>
    <col min="7418" max="7418" width="20.21875" style="310" customWidth="1"/>
    <col min="7419" max="7419" width="14.77734375" style="310" customWidth="1"/>
    <col min="7420" max="7420" width="8.5546875" style="310" customWidth="1"/>
    <col min="7421" max="7421" width="13" style="310" customWidth="1"/>
    <col min="7422" max="7422" width="8.21875" style="310" customWidth="1"/>
    <col min="7423" max="7423" width="13.44140625" style="310" customWidth="1"/>
    <col min="7424" max="7424" width="9.5546875" style="310" customWidth="1"/>
    <col min="7425" max="7425" width="11.77734375" style="310" customWidth="1"/>
    <col min="7426" max="7426" width="10.5546875" style="310" customWidth="1"/>
    <col min="7427" max="7427" width="42" style="310" customWidth="1"/>
    <col min="7428" max="7671" width="9.21875" style="310"/>
    <col min="7672" max="7672" width="13" style="310" customWidth="1"/>
    <col min="7673" max="7673" width="34.44140625" style="310" customWidth="1"/>
    <col min="7674" max="7674" width="20.21875" style="310" customWidth="1"/>
    <col min="7675" max="7675" width="14.77734375" style="310" customWidth="1"/>
    <col min="7676" max="7676" width="8.5546875" style="310" customWidth="1"/>
    <col min="7677" max="7677" width="13" style="310" customWidth="1"/>
    <col min="7678" max="7678" width="8.21875" style="310" customWidth="1"/>
    <col min="7679" max="7679" width="13.44140625" style="310" customWidth="1"/>
    <col min="7680" max="7680" width="9.5546875" style="310" customWidth="1"/>
    <col min="7681" max="7681" width="11.77734375" style="310" customWidth="1"/>
    <col min="7682" max="7682" width="10.5546875" style="310" customWidth="1"/>
    <col min="7683" max="7683" width="42" style="310" customWidth="1"/>
    <col min="7684" max="7927" width="9.21875" style="310"/>
    <col min="7928" max="7928" width="13" style="310" customWidth="1"/>
    <col min="7929" max="7929" width="34.44140625" style="310" customWidth="1"/>
    <col min="7930" max="7930" width="20.21875" style="310" customWidth="1"/>
    <col min="7931" max="7931" width="14.77734375" style="310" customWidth="1"/>
    <col min="7932" max="7932" width="8.5546875" style="310" customWidth="1"/>
    <col min="7933" max="7933" width="13" style="310" customWidth="1"/>
    <col min="7934" max="7934" width="8.21875" style="310" customWidth="1"/>
    <col min="7935" max="7935" width="13.44140625" style="310" customWidth="1"/>
    <col min="7936" max="7936" width="9.5546875" style="310" customWidth="1"/>
    <col min="7937" max="7937" width="11.77734375" style="310" customWidth="1"/>
    <col min="7938" max="7938" width="10.5546875" style="310" customWidth="1"/>
    <col min="7939" max="7939" width="42" style="310" customWidth="1"/>
    <col min="7940" max="8183" width="9.21875" style="310"/>
    <col min="8184" max="8184" width="13" style="310" customWidth="1"/>
    <col min="8185" max="8185" width="34.44140625" style="310" customWidth="1"/>
    <col min="8186" max="8186" width="20.21875" style="310" customWidth="1"/>
    <col min="8187" max="8187" width="14.77734375" style="310" customWidth="1"/>
    <col min="8188" max="8188" width="8.5546875" style="310" customWidth="1"/>
    <col min="8189" max="8189" width="13" style="310" customWidth="1"/>
    <col min="8190" max="8190" width="8.21875" style="310" customWidth="1"/>
    <col min="8191" max="8191" width="13.44140625" style="310" customWidth="1"/>
    <col min="8192" max="8192" width="9.5546875" style="310" customWidth="1"/>
    <col min="8193" max="8193" width="11.77734375" style="310" customWidth="1"/>
    <col min="8194" max="8194" width="10.5546875" style="310" customWidth="1"/>
    <col min="8195" max="8195" width="42" style="310" customWidth="1"/>
    <col min="8196" max="8439" width="9.21875" style="310"/>
    <col min="8440" max="8440" width="13" style="310" customWidth="1"/>
    <col min="8441" max="8441" width="34.44140625" style="310" customWidth="1"/>
    <col min="8442" max="8442" width="20.21875" style="310" customWidth="1"/>
    <col min="8443" max="8443" width="14.77734375" style="310" customWidth="1"/>
    <col min="8444" max="8444" width="8.5546875" style="310" customWidth="1"/>
    <col min="8445" max="8445" width="13" style="310" customWidth="1"/>
    <col min="8446" max="8446" width="8.21875" style="310" customWidth="1"/>
    <col min="8447" max="8447" width="13.44140625" style="310" customWidth="1"/>
    <col min="8448" max="8448" width="9.5546875" style="310" customWidth="1"/>
    <col min="8449" max="8449" width="11.77734375" style="310" customWidth="1"/>
    <col min="8450" max="8450" width="10.5546875" style="310" customWidth="1"/>
    <col min="8451" max="8451" width="42" style="310" customWidth="1"/>
    <col min="8452" max="8695" width="9.21875" style="310"/>
    <col min="8696" max="8696" width="13" style="310" customWidth="1"/>
    <col min="8697" max="8697" width="34.44140625" style="310" customWidth="1"/>
    <col min="8698" max="8698" width="20.21875" style="310" customWidth="1"/>
    <col min="8699" max="8699" width="14.77734375" style="310" customWidth="1"/>
    <col min="8700" max="8700" width="8.5546875" style="310" customWidth="1"/>
    <col min="8701" max="8701" width="13" style="310" customWidth="1"/>
    <col min="8702" max="8702" width="8.21875" style="310" customWidth="1"/>
    <col min="8703" max="8703" width="13.44140625" style="310" customWidth="1"/>
    <col min="8704" max="8704" width="9.5546875" style="310" customWidth="1"/>
    <col min="8705" max="8705" width="11.77734375" style="310" customWidth="1"/>
    <col min="8706" max="8706" width="10.5546875" style="310" customWidth="1"/>
    <col min="8707" max="8707" width="42" style="310" customWidth="1"/>
    <col min="8708" max="8951" width="9.21875" style="310"/>
    <col min="8952" max="8952" width="13" style="310" customWidth="1"/>
    <col min="8953" max="8953" width="34.44140625" style="310" customWidth="1"/>
    <col min="8954" max="8954" width="20.21875" style="310" customWidth="1"/>
    <col min="8955" max="8955" width="14.77734375" style="310" customWidth="1"/>
    <col min="8956" max="8956" width="8.5546875" style="310" customWidth="1"/>
    <col min="8957" max="8957" width="13" style="310" customWidth="1"/>
    <col min="8958" max="8958" width="8.21875" style="310" customWidth="1"/>
    <col min="8959" max="8959" width="13.44140625" style="310" customWidth="1"/>
    <col min="8960" max="8960" width="9.5546875" style="310" customWidth="1"/>
    <col min="8961" max="8961" width="11.77734375" style="310" customWidth="1"/>
    <col min="8962" max="8962" width="10.5546875" style="310" customWidth="1"/>
    <col min="8963" max="8963" width="42" style="310" customWidth="1"/>
    <col min="8964" max="9207" width="9.21875" style="310"/>
    <col min="9208" max="9208" width="13" style="310" customWidth="1"/>
    <col min="9209" max="9209" width="34.44140625" style="310" customWidth="1"/>
    <col min="9210" max="9210" width="20.21875" style="310" customWidth="1"/>
    <col min="9211" max="9211" width="14.77734375" style="310" customWidth="1"/>
    <col min="9212" max="9212" width="8.5546875" style="310" customWidth="1"/>
    <col min="9213" max="9213" width="13" style="310" customWidth="1"/>
    <col min="9214" max="9214" width="8.21875" style="310" customWidth="1"/>
    <col min="9215" max="9215" width="13.44140625" style="310" customWidth="1"/>
    <col min="9216" max="9216" width="9.5546875" style="310" customWidth="1"/>
    <col min="9217" max="9217" width="11.77734375" style="310" customWidth="1"/>
    <col min="9218" max="9218" width="10.5546875" style="310" customWidth="1"/>
    <col min="9219" max="9219" width="42" style="310" customWidth="1"/>
    <col min="9220" max="9463" width="9.21875" style="310"/>
    <col min="9464" max="9464" width="13" style="310" customWidth="1"/>
    <col min="9465" max="9465" width="34.44140625" style="310" customWidth="1"/>
    <col min="9466" max="9466" width="20.21875" style="310" customWidth="1"/>
    <col min="9467" max="9467" width="14.77734375" style="310" customWidth="1"/>
    <col min="9468" max="9468" width="8.5546875" style="310" customWidth="1"/>
    <col min="9469" max="9469" width="13" style="310" customWidth="1"/>
    <col min="9470" max="9470" width="8.21875" style="310" customWidth="1"/>
    <col min="9471" max="9471" width="13.44140625" style="310" customWidth="1"/>
    <col min="9472" max="9472" width="9.5546875" style="310" customWidth="1"/>
    <col min="9473" max="9473" width="11.77734375" style="310" customWidth="1"/>
    <col min="9474" max="9474" width="10.5546875" style="310" customWidth="1"/>
    <col min="9475" max="9475" width="42" style="310" customWidth="1"/>
    <col min="9476" max="9719" width="9.21875" style="310"/>
    <col min="9720" max="9720" width="13" style="310" customWidth="1"/>
    <col min="9721" max="9721" width="34.44140625" style="310" customWidth="1"/>
    <col min="9722" max="9722" width="20.21875" style="310" customWidth="1"/>
    <col min="9723" max="9723" width="14.77734375" style="310" customWidth="1"/>
    <col min="9724" max="9724" width="8.5546875" style="310" customWidth="1"/>
    <col min="9725" max="9725" width="13" style="310" customWidth="1"/>
    <col min="9726" max="9726" width="8.21875" style="310" customWidth="1"/>
    <col min="9727" max="9727" width="13.44140625" style="310" customWidth="1"/>
    <col min="9728" max="9728" width="9.5546875" style="310" customWidth="1"/>
    <col min="9729" max="9729" width="11.77734375" style="310" customWidth="1"/>
    <col min="9730" max="9730" width="10.5546875" style="310" customWidth="1"/>
    <col min="9731" max="9731" width="42" style="310" customWidth="1"/>
    <col min="9732" max="9975" width="9.21875" style="310"/>
    <col min="9976" max="9976" width="13" style="310" customWidth="1"/>
    <col min="9977" max="9977" width="34.44140625" style="310" customWidth="1"/>
    <col min="9978" max="9978" width="20.21875" style="310" customWidth="1"/>
    <col min="9979" max="9979" width="14.77734375" style="310" customWidth="1"/>
    <col min="9980" max="9980" width="8.5546875" style="310" customWidth="1"/>
    <col min="9981" max="9981" width="13" style="310" customWidth="1"/>
    <col min="9982" max="9982" width="8.21875" style="310" customWidth="1"/>
    <col min="9983" max="9983" width="13.44140625" style="310" customWidth="1"/>
    <col min="9984" max="9984" width="9.5546875" style="310" customWidth="1"/>
    <col min="9985" max="9985" width="11.77734375" style="310" customWidth="1"/>
    <col min="9986" max="9986" width="10.5546875" style="310" customWidth="1"/>
    <col min="9987" max="9987" width="42" style="310" customWidth="1"/>
    <col min="9988" max="10231" width="9.21875" style="310"/>
    <col min="10232" max="10232" width="13" style="310" customWidth="1"/>
    <col min="10233" max="10233" width="34.44140625" style="310" customWidth="1"/>
    <col min="10234" max="10234" width="20.21875" style="310" customWidth="1"/>
    <col min="10235" max="10235" width="14.77734375" style="310" customWidth="1"/>
    <col min="10236" max="10236" width="8.5546875" style="310" customWidth="1"/>
    <col min="10237" max="10237" width="13" style="310" customWidth="1"/>
    <col min="10238" max="10238" width="8.21875" style="310" customWidth="1"/>
    <col min="10239" max="10239" width="13.44140625" style="310" customWidth="1"/>
    <col min="10240" max="10240" width="9.5546875" style="310" customWidth="1"/>
    <col min="10241" max="10241" width="11.77734375" style="310" customWidth="1"/>
    <col min="10242" max="10242" width="10.5546875" style="310" customWidth="1"/>
    <col min="10243" max="10243" width="42" style="310" customWidth="1"/>
    <col min="10244" max="10487" width="9.21875" style="310"/>
    <col min="10488" max="10488" width="13" style="310" customWidth="1"/>
    <col min="10489" max="10489" width="34.44140625" style="310" customWidth="1"/>
    <col min="10490" max="10490" width="20.21875" style="310" customWidth="1"/>
    <col min="10491" max="10491" width="14.77734375" style="310" customWidth="1"/>
    <col min="10492" max="10492" width="8.5546875" style="310" customWidth="1"/>
    <col min="10493" max="10493" width="13" style="310" customWidth="1"/>
    <col min="10494" max="10494" width="8.21875" style="310" customWidth="1"/>
    <col min="10495" max="10495" width="13.44140625" style="310" customWidth="1"/>
    <col min="10496" max="10496" width="9.5546875" style="310" customWidth="1"/>
    <col min="10497" max="10497" width="11.77734375" style="310" customWidth="1"/>
    <col min="10498" max="10498" width="10.5546875" style="310" customWidth="1"/>
    <col min="10499" max="10499" width="42" style="310" customWidth="1"/>
    <col min="10500" max="10743" width="9.21875" style="310"/>
    <col min="10744" max="10744" width="13" style="310" customWidth="1"/>
    <col min="10745" max="10745" width="34.44140625" style="310" customWidth="1"/>
    <col min="10746" max="10746" width="20.21875" style="310" customWidth="1"/>
    <col min="10747" max="10747" width="14.77734375" style="310" customWidth="1"/>
    <col min="10748" max="10748" width="8.5546875" style="310" customWidth="1"/>
    <col min="10749" max="10749" width="13" style="310" customWidth="1"/>
    <col min="10750" max="10750" width="8.21875" style="310" customWidth="1"/>
    <col min="10751" max="10751" width="13.44140625" style="310" customWidth="1"/>
    <col min="10752" max="10752" width="9.5546875" style="310" customWidth="1"/>
    <col min="10753" max="10753" width="11.77734375" style="310" customWidth="1"/>
    <col min="10754" max="10754" width="10.5546875" style="310" customWidth="1"/>
    <col min="10755" max="10755" width="42" style="310" customWidth="1"/>
    <col min="10756" max="10999" width="9.21875" style="310"/>
    <col min="11000" max="11000" width="13" style="310" customWidth="1"/>
    <col min="11001" max="11001" width="34.44140625" style="310" customWidth="1"/>
    <col min="11002" max="11002" width="20.21875" style="310" customWidth="1"/>
    <col min="11003" max="11003" width="14.77734375" style="310" customWidth="1"/>
    <col min="11004" max="11004" width="8.5546875" style="310" customWidth="1"/>
    <col min="11005" max="11005" width="13" style="310" customWidth="1"/>
    <col min="11006" max="11006" width="8.21875" style="310" customWidth="1"/>
    <col min="11007" max="11007" width="13.44140625" style="310" customWidth="1"/>
    <col min="11008" max="11008" width="9.5546875" style="310" customWidth="1"/>
    <col min="11009" max="11009" width="11.77734375" style="310" customWidth="1"/>
    <col min="11010" max="11010" width="10.5546875" style="310" customWidth="1"/>
    <col min="11011" max="11011" width="42" style="310" customWidth="1"/>
    <col min="11012" max="11255" width="9.21875" style="310"/>
    <col min="11256" max="11256" width="13" style="310" customWidth="1"/>
    <col min="11257" max="11257" width="34.44140625" style="310" customWidth="1"/>
    <col min="11258" max="11258" width="20.21875" style="310" customWidth="1"/>
    <col min="11259" max="11259" width="14.77734375" style="310" customWidth="1"/>
    <col min="11260" max="11260" width="8.5546875" style="310" customWidth="1"/>
    <col min="11261" max="11261" width="13" style="310" customWidth="1"/>
    <col min="11262" max="11262" width="8.21875" style="310" customWidth="1"/>
    <col min="11263" max="11263" width="13.44140625" style="310" customWidth="1"/>
    <col min="11264" max="11264" width="9.5546875" style="310" customWidth="1"/>
    <col min="11265" max="11265" width="11.77734375" style="310" customWidth="1"/>
    <col min="11266" max="11266" width="10.5546875" style="310" customWidth="1"/>
    <col min="11267" max="11267" width="42" style="310" customWidth="1"/>
    <col min="11268" max="11511" width="9.21875" style="310"/>
    <col min="11512" max="11512" width="13" style="310" customWidth="1"/>
    <col min="11513" max="11513" width="34.44140625" style="310" customWidth="1"/>
    <col min="11514" max="11514" width="20.21875" style="310" customWidth="1"/>
    <col min="11515" max="11515" width="14.77734375" style="310" customWidth="1"/>
    <col min="11516" max="11516" width="8.5546875" style="310" customWidth="1"/>
    <col min="11517" max="11517" width="13" style="310" customWidth="1"/>
    <col min="11518" max="11518" width="8.21875" style="310" customWidth="1"/>
    <col min="11519" max="11519" width="13.44140625" style="310" customWidth="1"/>
    <col min="11520" max="11520" width="9.5546875" style="310" customWidth="1"/>
    <col min="11521" max="11521" width="11.77734375" style="310" customWidth="1"/>
    <col min="11522" max="11522" width="10.5546875" style="310" customWidth="1"/>
    <col min="11523" max="11523" width="42" style="310" customWidth="1"/>
    <col min="11524" max="11767" width="9.21875" style="310"/>
    <col min="11768" max="11768" width="13" style="310" customWidth="1"/>
    <col min="11769" max="11769" width="34.44140625" style="310" customWidth="1"/>
    <col min="11770" max="11770" width="20.21875" style="310" customWidth="1"/>
    <col min="11771" max="11771" width="14.77734375" style="310" customWidth="1"/>
    <col min="11772" max="11772" width="8.5546875" style="310" customWidth="1"/>
    <col min="11773" max="11773" width="13" style="310" customWidth="1"/>
    <col min="11774" max="11774" width="8.21875" style="310" customWidth="1"/>
    <col min="11775" max="11775" width="13.44140625" style="310" customWidth="1"/>
    <col min="11776" max="11776" width="9.5546875" style="310" customWidth="1"/>
    <col min="11777" max="11777" width="11.77734375" style="310" customWidth="1"/>
    <col min="11778" max="11778" width="10.5546875" style="310" customWidth="1"/>
    <col min="11779" max="11779" width="42" style="310" customWidth="1"/>
    <col min="11780" max="12023" width="9.21875" style="310"/>
    <col min="12024" max="12024" width="13" style="310" customWidth="1"/>
    <col min="12025" max="12025" width="34.44140625" style="310" customWidth="1"/>
    <col min="12026" max="12026" width="20.21875" style="310" customWidth="1"/>
    <col min="12027" max="12027" width="14.77734375" style="310" customWidth="1"/>
    <col min="12028" max="12028" width="8.5546875" style="310" customWidth="1"/>
    <col min="12029" max="12029" width="13" style="310" customWidth="1"/>
    <col min="12030" max="12030" width="8.21875" style="310" customWidth="1"/>
    <col min="12031" max="12031" width="13.44140625" style="310" customWidth="1"/>
    <col min="12032" max="12032" width="9.5546875" style="310" customWidth="1"/>
    <col min="12033" max="12033" width="11.77734375" style="310" customWidth="1"/>
    <col min="12034" max="12034" width="10.5546875" style="310" customWidth="1"/>
    <col min="12035" max="12035" width="42" style="310" customWidth="1"/>
    <col min="12036" max="12279" width="9.21875" style="310"/>
    <col min="12280" max="12280" width="13" style="310" customWidth="1"/>
    <col min="12281" max="12281" width="34.44140625" style="310" customWidth="1"/>
    <col min="12282" max="12282" width="20.21875" style="310" customWidth="1"/>
    <col min="12283" max="12283" width="14.77734375" style="310" customWidth="1"/>
    <col min="12284" max="12284" width="8.5546875" style="310" customWidth="1"/>
    <col min="12285" max="12285" width="13" style="310" customWidth="1"/>
    <col min="12286" max="12286" width="8.21875" style="310" customWidth="1"/>
    <col min="12287" max="12287" width="13.44140625" style="310" customWidth="1"/>
    <col min="12288" max="12288" width="9.5546875" style="310" customWidth="1"/>
    <col min="12289" max="12289" width="11.77734375" style="310" customWidth="1"/>
    <col min="12290" max="12290" width="10.5546875" style="310" customWidth="1"/>
    <col min="12291" max="12291" width="42" style="310" customWidth="1"/>
    <col min="12292" max="12535" width="9.21875" style="310"/>
    <col min="12536" max="12536" width="13" style="310" customWidth="1"/>
    <col min="12537" max="12537" width="34.44140625" style="310" customWidth="1"/>
    <col min="12538" max="12538" width="20.21875" style="310" customWidth="1"/>
    <col min="12539" max="12539" width="14.77734375" style="310" customWidth="1"/>
    <col min="12540" max="12540" width="8.5546875" style="310" customWidth="1"/>
    <col min="12541" max="12541" width="13" style="310" customWidth="1"/>
    <col min="12542" max="12542" width="8.21875" style="310" customWidth="1"/>
    <col min="12543" max="12543" width="13.44140625" style="310" customWidth="1"/>
    <col min="12544" max="12544" width="9.5546875" style="310" customWidth="1"/>
    <col min="12545" max="12545" width="11.77734375" style="310" customWidth="1"/>
    <col min="12546" max="12546" width="10.5546875" style="310" customWidth="1"/>
    <col min="12547" max="12547" width="42" style="310" customWidth="1"/>
    <col min="12548" max="12791" width="9.21875" style="310"/>
    <col min="12792" max="12792" width="13" style="310" customWidth="1"/>
    <col min="12793" max="12793" width="34.44140625" style="310" customWidth="1"/>
    <col min="12794" max="12794" width="20.21875" style="310" customWidth="1"/>
    <col min="12795" max="12795" width="14.77734375" style="310" customWidth="1"/>
    <col min="12796" max="12796" width="8.5546875" style="310" customWidth="1"/>
    <col min="12797" max="12797" width="13" style="310" customWidth="1"/>
    <col min="12798" max="12798" width="8.21875" style="310" customWidth="1"/>
    <col min="12799" max="12799" width="13.44140625" style="310" customWidth="1"/>
    <col min="12800" max="12800" width="9.5546875" style="310" customWidth="1"/>
    <col min="12801" max="12801" width="11.77734375" style="310" customWidth="1"/>
    <col min="12802" max="12802" width="10.5546875" style="310" customWidth="1"/>
    <col min="12803" max="12803" width="42" style="310" customWidth="1"/>
    <col min="12804" max="13047" width="9.21875" style="310"/>
    <col min="13048" max="13048" width="13" style="310" customWidth="1"/>
    <col min="13049" max="13049" width="34.44140625" style="310" customWidth="1"/>
    <col min="13050" max="13050" width="20.21875" style="310" customWidth="1"/>
    <col min="13051" max="13051" width="14.77734375" style="310" customWidth="1"/>
    <col min="13052" max="13052" width="8.5546875" style="310" customWidth="1"/>
    <col min="13053" max="13053" width="13" style="310" customWidth="1"/>
    <col min="13054" max="13054" width="8.21875" style="310" customWidth="1"/>
    <col min="13055" max="13055" width="13.44140625" style="310" customWidth="1"/>
    <col min="13056" max="13056" width="9.5546875" style="310" customWidth="1"/>
    <col min="13057" max="13057" width="11.77734375" style="310" customWidth="1"/>
    <col min="13058" max="13058" width="10.5546875" style="310" customWidth="1"/>
    <col min="13059" max="13059" width="42" style="310" customWidth="1"/>
    <col min="13060" max="13303" width="9.21875" style="310"/>
    <col min="13304" max="13304" width="13" style="310" customWidth="1"/>
    <col min="13305" max="13305" width="34.44140625" style="310" customWidth="1"/>
    <col min="13306" max="13306" width="20.21875" style="310" customWidth="1"/>
    <col min="13307" max="13307" width="14.77734375" style="310" customWidth="1"/>
    <col min="13308" max="13308" width="8.5546875" style="310" customWidth="1"/>
    <col min="13309" max="13309" width="13" style="310" customWidth="1"/>
    <col min="13310" max="13310" width="8.21875" style="310" customWidth="1"/>
    <col min="13311" max="13311" width="13.44140625" style="310" customWidth="1"/>
    <col min="13312" max="13312" width="9.5546875" style="310" customWidth="1"/>
    <col min="13313" max="13313" width="11.77734375" style="310" customWidth="1"/>
    <col min="13314" max="13314" width="10.5546875" style="310" customWidth="1"/>
    <col min="13315" max="13315" width="42" style="310" customWidth="1"/>
    <col min="13316" max="13559" width="9.21875" style="310"/>
    <col min="13560" max="13560" width="13" style="310" customWidth="1"/>
    <col min="13561" max="13561" width="34.44140625" style="310" customWidth="1"/>
    <col min="13562" max="13562" width="20.21875" style="310" customWidth="1"/>
    <col min="13563" max="13563" width="14.77734375" style="310" customWidth="1"/>
    <col min="13564" max="13564" width="8.5546875" style="310" customWidth="1"/>
    <col min="13565" max="13565" width="13" style="310" customWidth="1"/>
    <col min="13566" max="13566" width="8.21875" style="310" customWidth="1"/>
    <col min="13567" max="13567" width="13.44140625" style="310" customWidth="1"/>
    <col min="13568" max="13568" width="9.5546875" style="310" customWidth="1"/>
    <col min="13569" max="13569" width="11.77734375" style="310" customWidth="1"/>
    <col min="13570" max="13570" width="10.5546875" style="310" customWidth="1"/>
    <col min="13571" max="13571" width="42" style="310" customWidth="1"/>
    <col min="13572" max="13815" width="9.21875" style="310"/>
    <col min="13816" max="13816" width="13" style="310" customWidth="1"/>
    <col min="13817" max="13817" width="34.44140625" style="310" customWidth="1"/>
    <col min="13818" max="13818" width="20.21875" style="310" customWidth="1"/>
    <col min="13819" max="13819" width="14.77734375" style="310" customWidth="1"/>
    <col min="13820" max="13820" width="8.5546875" style="310" customWidth="1"/>
    <col min="13821" max="13821" width="13" style="310" customWidth="1"/>
    <col min="13822" max="13822" width="8.21875" style="310" customWidth="1"/>
    <col min="13823" max="13823" width="13.44140625" style="310" customWidth="1"/>
    <col min="13824" max="13824" width="9.5546875" style="310" customWidth="1"/>
    <col min="13825" max="13825" width="11.77734375" style="310" customWidth="1"/>
    <col min="13826" max="13826" width="10.5546875" style="310" customWidth="1"/>
    <col min="13827" max="13827" width="42" style="310" customWidth="1"/>
    <col min="13828" max="14071" width="9.21875" style="310"/>
    <col min="14072" max="14072" width="13" style="310" customWidth="1"/>
    <col min="14073" max="14073" width="34.44140625" style="310" customWidth="1"/>
    <col min="14074" max="14074" width="20.21875" style="310" customWidth="1"/>
    <col min="14075" max="14075" width="14.77734375" style="310" customWidth="1"/>
    <col min="14076" max="14076" width="8.5546875" style="310" customWidth="1"/>
    <col min="14077" max="14077" width="13" style="310" customWidth="1"/>
    <col min="14078" max="14078" width="8.21875" style="310" customWidth="1"/>
    <col min="14079" max="14079" width="13.44140625" style="310" customWidth="1"/>
    <col min="14080" max="14080" width="9.5546875" style="310" customWidth="1"/>
    <col min="14081" max="14081" width="11.77734375" style="310" customWidth="1"/>
    <col min="14082" max="14082" width="10.5546875" style="310" customWidth="1"/>
    <col min="14083" max="14083" width="42" style="310" customWidth="1"/>
    <col min="14084" max="14327" width="9.21875" style="310"/>
    <col min="14328" max="14328" width="13" style="310" customWidth="1"/>
    <col min="14329" max="14329" width="34.44140625" style="310" customWidth="1"/>
    <col min="14330" max="14330" width="20.21875" style="310" customWidth="1"/>
    <col min="14331" max="14331" width="14.77734375" style="310" customWidth="1"/>
    <col min="14332" max="14332" width="8.5546875" style="310" customWidth="1"/>
    <col min="14333" max="14333" width="13" style="310" customWidth="1"/>
    <col min="14334" max="14334" width="8.21875" style="310" customWidth="1"/>
    <col min="14335" max="14335" width="13.44140625" style="310" customWidth="1"/>
    <col min="14336" max="14336" width="9.5546875" style="310" customWidth="1"/>
    <col min="14337" max="14337" width="11.77734375" style="310" customWidth="1"/>
    <col min="14338" max="14338" width="10.5546875" style="310" customWidth="1"/>
    <col min="14339" max="14339" width="42" style="310" customWidth="1"/>
    <col min="14340" max="14583" width="9.21875" style="310"/>
    <col min="14584" max="14584" width="13" style="310" customWidth="1"/>
    <col min="14585" max="14585" width="34.44140625" style="310" customWidth="1"/>
    <col min="14586" max="14586" width="20.21875" style="310" customWidth="1"/>
    <col min="14587" max="14587" width="14.77734375" style="310" customWidth="1"/>
    <col min="14588" max="14588" width="8.5546875" style="310" customWidth="1"/>
    <col min="14589" max="14589" width="13" style="310" customWidth="1"/>
    <col min="14590" max="14590" width="8.21875" style="310" customWidth="1"/>
    <col min="14591" max="14591" width="13.44140625" style="310" customWidth="1"/>
    <col min="14592" max="14592" width="9.5546875" style="310" customWidth="1"/>
    <col min="14593" max="14593" width="11.77734375" style="310" customWidth="1"/>
    <col min="14594" max="14594" width="10.5546875" style="310" customWidth="1"/>
    <col min="14595" max="14595" width="42" style="310" customWidth="1"/>
    <col min="14596" max="14839" width="9.21875" style="310"/>
    <col min="14840" max="14840" width="13" style="310" customWidth="1"/>
    <col min="14841" max="14841" width="34.44140625" style="310" customWidth="1"/>
    <col min="14842" max="14842" width="20.21875" style="310" customWidth="1"/>
    <col min="14843" max="14843" width="14.77734375" style="310" customWidth="1"/>
    <col min="14844" max="14844" width="8.5546875" style="310" customWidth="1"/>
    <col min="14845" max="14845" width="13" style="310" customWidth="1"/>
    <col min="14846" max="14846" width="8.21875" style="310" customWidth="1"/>
    <col min="14847" max="14847" width="13.44140625" style="310" customWidth="1"/>
    <col min="14848" max="14848" width="9.5546875" style="310" customWidth="1"/>
    <col min="14849" max="14849" width="11.77734375" style="310" customWidth="1"/>
    <col min="14850" max="14850" width="10.5546875" style="310" customWidth="1"/>
    <col min="14851" max="14851" width="42" style="310" customWidth="1"/>
    <col min="14852" max="15095" width="9.21875" style="310"/>
    <col min="15096" max="15096" width="13" style="310" customWidth="1"/>
    <col min="15097" max="15097" width="34.44140625" style="310" customWidth="1"/>
    <col min="15098" max="15098" width="20.21875" style="310" customWidth="1"/>
    <col min="15099" max="15099" width="14.77734375" style="310" customWidth="1"/>
    <col min="15100" max="15100" width="8.5546875" style="310" customWidth="1"/>
    <col min="15101" max="15101" width="13" style="310" customWidth="1"/>
    <col min="15102" max="15102" width="8.21875" style="310" customWidth="1"/>
    <col min="15103" max="15103" width="13.44140625" style="310" customWidth="1"/>
    <col min="15104" max="15104" width="9.5546875" style="310" customWidth="1"/>
    <col min="15105" max="15105" width="11.77734375" style="310" customWidth="1"/>
    <col min="15106" max="15106" width="10.5546875" style="310" customWidth="1"/>
    <col min="15107" max="15107" width="42" style="310" customWidth="1"/>
    <col min="15108" max="15351" width="9.21875" style="310"/>
    <col min="15352" max="15352" width="13" style="310" customWidth="1"/>
    <col min="15353" max="15353" width="34.44140625" style="310" customWidth="1"/>
    <col min="15354" max="15354" width="20.21875" style="310" customWidth="1"/>
    <col min="15355" max="15355" width="14.77734375" style="310" customWidth="1"/>
    <col min="15356" max="15356" width="8.5546875" style="310" customWidth="1"/>
    <col min="15357" max="15357" width="13" style="310" customWidth="1"/>
    <col min="15358" max="15358" width="8.21875" style="310" customWidth="1"/>
    <col min="15359" max="15359" width="13.44140625" style="310" customWidth="1"/>
    <col min="15360" max="15360" width="9.5546875" style="310" customWidth="1"/>
    <col min="15361" max="15361" width="11.77734375" style="310" customWidth="1"/>
    <col min="15362" max="15362" width="10.5546875" style="310" customWidth="1"/>
    <col min="15363" max="15363" width="42" style="310" customWidth="1"/>
    <col min="15364" max="15607" width="9.21875" style="310"/>
    <col min="15608" max="15608" width="13" style="310" customWidth="1"/>
    <col min="15609" max="15609" width="34.44140625" style="310" customWidth="1"/>
    <col min="15610" max="15610" width="20.21875" style="310" customWidth="1"/>
    <col min="15611" max="15611" width="14.77734375" style="310" customWidth="1"/>
    <col min="15612" max="15612" width="8.5546875" style="310" customWidth="1"/>
    <col min="15613" max="15613" width="13" style="310" customWidth="1"/>
    <col min="15614" max="15614" width="8.21875" style="310" customWidth="1"/>
    <col min="15615" max="15615" width="13.44140625" style="310" customWidth="1"/>
    <col min="15616" max="15616" width="9.5546875" style="310" customWidth="1"/>
    <col min="15617" max="15617" width="11.77734375" style="310" customWidth="1"/>
    <col min="15618" max="15618" width="10.5546875" style="310" customWidth="1"/>
    <col min="15619" max="15619" width="42" style="310" customWidth="1"/>
    <col min="15620" max="15863" width="9.21875" style="310"/>
    <col min="15864" max="15864" width="13" style="310" customWidth="1"/>
    <col min="15865" max="15865" width="34.44140625" style="310" customWidth="1"/>
    <col min="15866" max="15866" width="20.21875" style="310" customWidth="1"/>
    <col min="15867" max="15867" width="14.77734375" style="310" customWidth="1"/>
    <col min="15868" max="15868" width="8.5546875" style="310" customWidth="1"/>
    <col min="15869" max="15869" width="13" style="310" customWidth="1"/>
    <col min="15870" max="15870" width="8.21875" style="310" customWidth="1"/>
    <col min="15871" max="15871" width="13.44140625" style="310" customWidth="1"/>
    <col min="15872" max="15872" width="9.5546875" style="310" customWidth="1"/>
    <col min="15873" max="15873" width="11.77734375" style="310" customWidth="1"/>
    <col min="15874" max="15874" width="10.5546875" style="310" customWidth="1"/>
    <col min="15875" max="15875" width="42" style="310" customWidth="1"/>
    <col min="15876" max="16119" width="9.21875" style="310"/>
    <col min="16120" max="16120" width="13" style="310" customWidth="1"/>
    <col min="16121" max="16121" width="34.44140625" style="310" customWidth="1"/>
    <col min="16122" max="16122" width="20.21875" style="310" customWidth="1"/>
    <col min="16123" max="16123" width="14.77734375" style="310" customWidth="1"/>
    <col min="16124" max="16124" width="8.5546875" style="310" customWidth="1"/>
    <col min="16125" max="16125" width="13" style="310" customWidth="1"/>
    <col min="16126" max="16126" width="8.21875" style="310" customWidth="1"/>
    <col min="16127" max="16127" width="13.44140625" style="310" customWidth="1"/>
    <col min="16128" max="16128" width="9.5546875" style="310" customWidth="1"/>
    <col min="16129" max="16129" width="11.77734375" style="310" customWidth="1"/>
    <col min="16130" max="16130" width="10.5546875" style="310" customWidth="1"/>
    <col min="16131" max="16131" width="42" style="310" customWidth="1"/>
    <col min="16132" max="16384" width="9.21875" style="310"/>
  </cols>
  <sheetData>
    <row r="1" spans="1:5" x14ac:dyDescent="0.25">
      <c r="A1" s="337" t="s">
        <v>201</v>
      </c>
      <c r="B1" s="330" t="s">
        <v>202</v>
      </c>
      <c r="C1" s="331" t="s">
        <v>196</v>
      </c>
      <c r="D1" s="332" t="s">
        <v>197</v>
      </c>
      <c r="E1" s="364" t="s">
        <v>1467</v>
      </c>
    </row>
    <row r="2" spans="1:5" x14ac:dyDescent="0.25">
      <c r="A2" s="324">
        <v>90371</v>
      </c>
      <c r="B2" s="312" t="s">
        <v>2474</v>
      </c>
      <c r="C2" s="311" t="s">
        <v>204</v>
      </c>
      <c r="D2" s="327">
        <v>113.22</v>
      </c>
    </row>
    <row r="3" spans="1:5" x14ac:dyDescent="0.25">
      <c r="A3" s="324">
        <v>90375</v>
      </c>
      <c r="B3" s="312" t="s">
        <v>2475</v>
      </c>
      <c r="C3" s="311" t="s">
        <v>206</v>
      </c>
      <c r="D3" s="327">
        <v>285.18200000000002</v>
      </c>
    </row>
    <row r="4" spans="1:5" x14ac:dyDescent="0.25">
      <c r="A4" s="324">
        <v>90376</v>
      </c>
      <c r="B4" s="312" t="s">
        <v>2476</v>
      </c>
      <c r="C4" s="311" t="s">
        <v>206</v>
      </c>
      <c r="D4" s="327">
        <v>262.80599999999998</v>
      </c>
    </row>
    <row r="5" spans="1:5" x14ac:dyDescent="0.25">
      <c r="A5" s="324">
        <v>90585</v>
      </c>
      <c r="B5" s="312" t="s">
        <v>2477</v>
      </c>
      <c r="C5" s="311" t="s">
        <v>209</v>
      </c>
      <c r="D5" s="327">
        <v>123.759</v>
      </c>
    </row>
    <row r="6" spans="1:5" x14ac:dyDescent="0.25">
      <c r="A6" s="324">
        <v>90586</v>
      </c>
      <c r="B6" s="312" t="s">
        <v>2478</v>
      </c>
      <c r="C6" s="311" t="s">
        <v>211</v>
      </c>
      <c r="D6" s="327">
        <v>123.759</v>
      </c>
    </row>
    <row r="7" spans="1:5" x14ac:dyDescent="0.25">
      <c r="A7" s="324">
        <v>90630</v>
      </c>
      <c r="B7" s="312" t="s">
        <v>2479</v>
      </c>
      <c r="C7" s="311" t="s">
        <v>1810</v>
      </c>
      <c r="D7" s="327">
        <v>23.466899999999999</v>
      </c>
    </row>
    <row r="8" spans="1:5" x14ac:dyDescent="0.25">
      <c r="A8" s="324">
        <v>90632</v>
      </c>
      <c r="B8" s="312" t="s">
        <v>2480</v>
      </c>
      <c r="C8" s="311" t="s">
        <v>204</v>
      </c>
      <c r="D8" s="327">
        <v>51.231999999999999</v>
      </c>
    </row>
    <row r="9" spans="1:5" x14ac:dyDescent="0.25">
      <c r="A9" s="324">
        <v>90656</v>
      </c>
      <c r="B9" s="312" t="s">
        <v>2481</v>
      </c>
      <c r="C9" s="311" t="s">
        <v>2482</v>
      </c>
      <c r="D9" s="327">
        <v>13.879499999999998</v>
      </c>
    </row>
    <row r="10" spans="1:5" x14ac:dyDescent="0.25">
      <c r="A10" s="324">
        <v>90657</v>
      </c>
      <c r="B10" s="312" t="s">
        <v>2483</v>
      </c>
      <c r="C10" s="311" t="s">
        <v>226</v>
      </c>
      <c r="D10" s="327">
        <v>6.0220500000000001</v>
      </c>
    </row>
    <row r="11" spans="1:5" ht="26.4" x14ac:dyDescent="0.25">
      <c r="A11" s="324">
        <v>90661</v>
      </c>
      <c r="B11" s="312" t="s">
        <v>2484</v>
      </c>
      <c r="C11" s="311" t="s">
        <v>216</v>
      </c>
      <c r="D11" s="327">
        <v>22.287949999999999</v>
      </c>
    </row>
    <row r="12" spans="1:5" x14ac:dyDescent="0.25">
      <c r="A12" s="324">
        <v>90662</v>
      </c>
      <c r="B12" s="312" t="s">
        <v>2485</v>
      </c>
      <c r="C12" s="311" t="s">
        <v>216</v>
      </c>
      <c r="D12" s="327">
        <v>36.314700000000002</v>
      </c>
    </row>
    <row r="13" spans="1:5" x14ac:dyDescent="0.25">
      <c r="A13" s="324">
        <v>90670</v>
      </c>
      <c r="B13" s="311" t="s">
        <v>2486</v>
      </c>
      <c r="C13" s="311" t="s">
        <v>216</v>
      </c>
      <c r="D13" s="327">
        <v>173.1508</v>
      </c>
    </row>
    <row r="14" spans="1:5" x14ac:dyDescent="0.25">
      <c r="A14" s="325">
        <v>90672</v>
      </c>
      <c r="B14" s="312" t="s">
        <v>2487</v>
      </c>
      <c r="C14" s="314" t="s">
        <v>2397</v>
      </c>
      <c r="D14" s="327">
        <v>26.876000000000001</v>
      </c>
    </row>
    <row r="15" spans="1:5" x14ac:dyDescent="0.25">
      <c r="A15" s="325">
        <v>90673</v>
      </c>
      <c r="B15" s="312" t="s">
        <v>2488</v>
      </c>
      <c r="C15" s="315" t="s">
        <v>216</v>
      </c>
      <c r="D15" s="327">
        <v>37.192499999999995</v>
      </c>
    </row>
    <row r="16" spans="1:5" x14ac:dyDescent="0.25">
      <c r="A16" s="324">
        <v>90675</v>
      </c>
      <c r="B16" s="312" t="s">
        <v>2489</v>
      </c>
      <c r="C16" s="311" t="s">
        <v>204</v>
      </c>
      <c r="D16" s="327">
        <v>280.20499999999998</v>
      </c>
    </row>
    <row r="17" spans="1:4" x14ac:dyDescent="0.25">
      <c r="A17" s="325">
        <v>90685</v>
      </c>
      <c r="B17" s="312" t="s">
        <v>2490</v>
      </c>
      <c r="C17" s="314" t="s">
        <v>223</v>
      </c>
      <c r="D17" s="327">
        <v>24.595500000000001</v>
      </c>
    </row>
    <row r="18" spans="1:4" x14ac:dyDescent="0.25">
      <c r="A18" s="325">
        <v>90686</v>
      </c>
      <c r="B18" s="312" t="s">
        <v>2491</v>
      </c>
      <c r="C18" s="314" t="s">
        <v>214</v>
      </c>
      <c r="D18" s="327">
        <v>18.154499999999999</v>
      </c>
    </row>
    <row r="19" spans="1:4" x14ac:dyDescent="0.25">
      <c r="A19" s="325">
        <v>90687</v>
      </c>
      <c r="B19" s="312" t="s">
        <v>2492</v>
      </c>
      <c r="C19" s="314" t="s">
        <v>226</v>
      </c>
      <c r="D19" s="327">
        <v>9.1342499999999998</v>
      </c>
    </row>
    <row r="20" spans="1:4" x14ac:dyDescent="0.25">
      <c r="A20" s="325">
        <v>90688</v>
      </c>
      <c r="B20" s="312" t="s">
        <v>2493</v>
      </c>
      <c r="C20" s="314" t="s">
        <v>216</v>
      </c>
      <c r="D20" s="327">
        <v>18.2685</v>
      </c>
    </row>
    <row r="21" spans="1:4" ht="12.75" customHeight="1" x14ac:dyDescent="0.25">
      <c r="A21" s="324">
        <v>90691</v>
      </c>
      <c r="B21" s="312" t="s">
        <v>2494</v>
      </c>
      <c r="C21" s="311" t="s">
        <v>216</v>
      </c>
      <c r="D21" s="327">
        <v>75.120999999999995</v>
      </c>
    </row>
    <row r="22" spans="1:4" x14ac:dyDescent="0.25">
      <c r="A22" s="324">
        <v>90714</v>
      </c>
      <c r="B22" s="312" t="s">
        <v>2495</v>
      </c>
      <c r="C22" s="311" t="s">
        <v>216</v>
      </c>
      <c r="D22" s="327">
        <v>22.745999999999999</v>
      </c>
    </row>
    <row r="23" spans="1:4" x14ac:dyDescent="0.25">
      <c r="A23" s="324">
        <v>90715</v>
      </c>
      <c r="B23" s="312" t="s">
        <v>2496</v>
      </c>
      <c r="C23" s="311" t="s">
        <v>216</v>
      </c>
      <c r="D23" s="327">
        <v>31.204999999999998</v>
      </c>
    </row>
    <row r="24" spans="1:4" x14ac:dyDescent="0.25">
      <c r="A24" s="324">
        <v>90732</v>
      </c>
      <c r="B24" s="312" t="s">
        <v>2497</v>
      </c>
      <c r="C24" s="311" t="s">
        <v>216</v>
      </c>
      <c r="D24" s="327">
        <v>82.517949999999999</v>
      </c>
    </row>
    <row r="25" spans="1:4" x14ac:dyDescent="0.25">
      <c r="A25" s="324">
        <v>90740</v>
      </c>
      <c r="B25" s="312" t="s">
        <v>2498</v>
      </c>
      <c r="C25" s="311" t="s">
        <v>235</v>
      </c>
      <c r="D25" s="327">
        <v>119.41500000000001</v>
      </c>
    </row>
    <row r="26" spans="1:4" x14ac:dyDescent="0.25">
      <c r="A26" s="324">
        <v>90743</v>
      </c>
      <c r="B26" s="312" t="s">
        <v>2180</v>
      </c>
      <c r="C26" s="311" t="s">
        <v>237</v>
      </c>
      <c r="D26" s="327">
        <v>24.216000000000001</v>
      </c>
    </row>
    <row r="27" spans="1:4" x14ac:dyDescent="0.25">
      <c r="A27" s="324">
        <v>90744</v>
      </c>
      <c r="B27" s="312" t="s">
        <v>2499</v>
      </c>
      <c r="C27" s="311" t="s">
        <v>237</v>
      </c>
      <c r="D27" s="327">
        <v>24.216000000000001</v>
      </c>
    </row>
    <row r="28" spans="1:4" x14ac:dyDescent="0.25">
      <c r="A28" s="324">
        <v>90746</v>
      </c>
      <c r="B28" s="312" t="s">
        <v>2500</v>
      </c>
      <c r="C28" s="311" t="s">
        <v>239</v>
      </c>
      <c r="D28" s="327">
        <v>59.707999999999998</v>
      </c>
    </row>
    <row r="29" spans="1:4" x14ac:dyDescent="0.25">
      <c r="A29" s="324">
        <v>90747</v>
      </c>
      <c r="B29" s="312" t="s">
        <v>2501</v>
      </c>
      <c r="C29" s="311" t="s">
        <v>235</v>
      </c>
      <c r="D29" s="327">
        <v>119.41500000000001</v>
      </c>
    </row>
    <row r="30" spans="1:4" x14ac:dyDescent="0.25">
      <c r="A30" s="324" t="s">
        <v>1549</v>
      </c>
      <c r="B30" s="312" t="s">
        <v>2502</v>
      </c>
      <c r="C30" s="311" t="s">
        <v>1810</v>
      </c>
      <c r="D30" s="327">
        <v>0.20899999999999999</v>
      </c>
    </row>
    <row r="31" spans="1:4" x14ac:dyDescent="0.25">
      <c r="A31" s="324" t="s">
        <v>242</v>
      </c>
      <c r="B31" s="312" t="s">
        <v>243</v>
      </c>
      <c r="C31" s="311" t="s">
        <v>204</v>
      </c>
      <c r="D31" s="327">
        <v>1.6459999999999999</v>
      </c>
    </row>
    <row r="32" spans="1:4" x14ac:dyDescent="0.25">
      <c r="A32" s="324" t="s">
        <v>244</v>
      </c>
      <c r="B32" s="312" t="s">
        <v>245</v>
      </c>
      <c r="C32" s="311" t="s">
        <v>204</v>
      </c>
      <c r="D32" s="327">
        <v>2.133</v>
      </c>
    </row>
    <row r="33" spans="1:5" x14ac:dyDescent="0.25">
      <c r="A33" s="324" t="s">
        <v>246</v>
      </c>
      <c r="B33" s="312" t="s">
        <v>247</v>
      </c>
      <c r="C33" s="311" t="s">
        <v>204</v>
      </c>
      <c r="D33" s="327">
        <v>2.012</v>
      </c>
    </row>
    <row r="34" spans="1:5" x14ac:dyDescent="0.25">
      <c r="A34" s="324" t="s">
        <v>248</v>
      </c>
      <c r="B34" s="312" t="s">
        <v>2503</v>
      </c>
      <c r="C34" s="311" t="s">
        <v>204</v>
      </c>
      <c r="D34" s="327">
        <v>1.89</v>
      </c>
    </row>
    <row r="35" spans="1:5" x14ac:dyDescent="0.25">
      <c r="A35" s="326" t="s">
        <v>250</v>
      </c>
      <c r="B35" s="312" t="s">
        <v>251</v>
      </c>
      <c r="C35" s="316" t="s">
        <v>204</v>
      </c>
      <c r="D35" s="327">
        <v>13.999000000000001</v>
      </c>
    </row>
    <row r="36" spans="1:5" x14ac:dyDescent="0.25">
      <c r="A36" s="324" t="s">
        <v>2460</v>
      </c>
      <c r="B36" s="312" t="s">
        <v>2461</v>
      </c>
      <c r="C36" s="311" t="s">
        <v>204</v>
      </c>
      <c r="D36" s="327">
        <v>14.818</v>
      </c>
    </row>
    <row r="37" spans="1:5" x14ac:dyDescent="0.25">
      <c r="A37" s="324" t="s">
        <v>252</v>
      </c>
      <c r="B37" s="312" t="s">
        <v>253</v>
      </c>
      <c r="C37" s="313" t="s">
        <v>254</v>
      </c>
      <c r="D37" s="327">
        <v>0.39300000000000002</v>
      </c>
    </row>
    <row r="38" spans="1:5" ht="132" x14ac:dyDescent="0.25">
      <c r="A38" s="324" t="s">
        <v>258</v>
      </c>
      <c r="B38" s="312" t="s">
        <v>259</v>
      </c>
      <c r="C38" s="313" t="s">
        <v>260</v>
      </c>
      <c r="D38" s="327" t="s">
        <v>1551</v>
      </c>
      <c r="E38" s="346" t="s">
        <v>2635</v>
      </c>
    </row>
    <row r="39" spans="1:5" x14ac:dyDescent="0.25">
      <c r="A39" s="324" t="s">
        <v>261</v>
      </c>
      <c r="B39" s="312" t="s">
        <v>262</v>
      </c>
      <c r="C39" s="313" t="s">
        <v>199</v>
      </c>
      <c r="D39" s="327">
        <v>39.442</v>
      </c>
    </row>
    <row r="40" spans="1:5" x14ac:dyDescent="0.25">
      <c r="A40" s="324" t="s">
        <v>263</v>
      </c>
      <c r="B40" s="312" t="s">
        <v>264</v>
      </c>
      <c r="C40" s="311" t="s">
        <v>199</v>
      </c>
      <c r="D40" s="327">
        <v>1015.544</v>
      </c>
    </row>
    <row r="41" spans="1:5" ht="12.75" customHeight="1" x14ac:dyDescent="0.25">
      <c r="A41" s="324" t="s">
        <v>265</v>
      </c>
      <c r="B41" s="312" t="s">
        <v>266</v>
      </c>
      <c r="C41" s="311" t="s">
        <v>257</v>
      </c>
      <c r="D41" s="327">
        <v>1.7190000000000001</v>
      </c>
    </row>
    <row r="42" spans="1:5" ht="12.75" customHeight="1" x14ac:dyDescent="0.25">
      <c r="A42" s="324" t="s">
        <v>267</v>
      </c>
      <c r="B42" s="312" t="s">
        <v>268</v>
      </c>
      <c r="C42" s="311" t="s">
        <v>200</v>
      </c>
      <c r="D42" s="327">
        <v>7.4999999999999997E-2</v>
      </c>
    </row>
    <row r="43" spans="1:5" x14ac:dyDescent="0.25">
      <c r="A43" s="324" t="s">
        <v>2457</v>
      </c>
      <c r="B43" s="312" t="s">
        <v>2458</v>
      </c>
      <c r="C43" s="311" t="s">
        <v>311</v>
      </c>
      <c r="D43" s="327">
        <v>753.25800000000004</v>
      </c>
    </row>
    <row r="44" spans="1:5" x14ac:dyDescent="0.25">
      <c r="A44" s="324" t="s">
        <v>269</v>
      </c>
      <c r="B44" s="312" t="s">
        <v>270</v>
      </c>
      <c r="C44" s="311" t="s">
        <v>198</v>
      </c>
      <c r="D44" s="327">
        <v>0.96199999999999997</v>
      </c>
    </row>
    <row r="45" spans="1:5" x14ac:dyDescent="0.25">
      <c r="A45" s="324" t="s">
        <v>271</v>
      </c>
      <c r="B45" s="312" t="s">
        <v>272</v>
      </c>
      <c r="C45" s="311" t="s">
        <v>273</v>
      </c>
      <c r="D45" s="327">
        <v>0.127</v>
      </c>
    </row>
    <row r="46" spans="1:5" x14ac:dyDescent="0.25">
      <c r="A46" s="324" t="s">
        <v>274</v>
      </c>
      <c r="B46" s="312" t="s">
        <v>2504</v>
      </c>
      <c r="C46" s="311" t="s">
        <v>198</v>
      </c>
      <c r="D46" s="327">
        <v>980.5</v>
      </c>
    </row>
    <row r="47" spans="1:5" x14ac:dyDescent="0.25">
      <c r="A47" s="324" t="s">
        <v>276</v>
      </c>
      <c r="B47" s="312" t="s">
        <v>277</v>
      </c>
      <c r="C47" s="311" t="s">
        <v>198</v>
      </c>
      <c r="D47" s="327">
        <v>158.477</v>
      </c>
    </row>
    <row r="48" spans="1:5" x14ac:dyDescent="0.25">
      <c r="A48" s="325" t="s">
        <v>280</v>
      </c>
      <c r="B48" s="312" t="s">
        <v>2505</v>
      </c>
      <c r="C48" s="314" t="s">
        <v>198</v>
      </c>
      <c r="D48" s="327">
        <v>1743.8150000000001</v>
      </c>
    </row>
    <row r="49" spans="1:4" x14ac:dyDescent="0.25">
      <c r="A49" s="324" t="s">
        <v>282</v>
      </c>
      <c r="B49" s="312" t="s">
        <v>283</v>
      </c>
      <c r="C49" s="311" t="s">
        <v>284</v>
      </c>
      <c r="D49" s="327">
        <v>377.88299999999998</v>
      </c>
    </row>
    <row r="50" spans="1:4" x14ac:dyDescent="0.25">
      <c r="A50" s="324" t="s">
        <v>2506</v>
      </c>
      <c r="B50" s="312" t="s">
        <v>2507</v>
      </c>
      <c r="C50" s="311" t="s">
        <v>199</v>
      </c>
      <c r="D50" s="327">
        <v>206.70000000000002</v>
      </c>
    </row>
    <row r="51" spans="1:4" x14ac:dyDescent="0.25">
      <c r="A51" s="324" t="s">
        <v>285</v>
      </c>
      <c r="B51" s="312" t="s">
        <v>286</v>
      </c>
      <c r="C51" s="311" t="s">
        <v>199</v>
      </c>
      <c r="D51" s="327">
        <v>153.59800000000001</v>
      </c>
    </row>
    <row r="52" spans="1:4" x14ac:dyDescent="0.25">
      <c r="A52" s="324" t="s">
        <v>287</v>
      </c>
      <c r="B52" s="312" t="s">
        <v>288</v>
      </c>
      <c r="C52" s="311" t="s">
        <v>199</v>
      </c>
      <c r="D52" s="327">
        <v>4.593</v>
      </c>
    </row>
    <row r="53" spans="1:4" x14ac:dyDescent="0.25">
      <c r="A53" s="324" t="s">
        <v>289</v>
      </c>
      <c r="B53" s="312" t="s">
        <v>290</v>
      </c>
      <c r="C53" s="311" t="s">
        <v>199</v>
      </c>
      <c r="D53" s="327">
        <v>4.2720000000000002</v>
      </c>
    </row>
    <row r="54" spans="1:4" x14ac:dyDescent="0.25">
      <c r="A54" s="324" t="s">
        <v>291</v>
      </c>
      <c r="B54" s="312" t="s">
        <v>292</v>
      </c>
      <c r="C54" s="311" t="s">
        <v>257</v>
      </c>
      <c r="D54" s="327">
        <v>1.155</v>
      </c>
    </row>
    <row r="55" spans="1:4" x14ac:dyDescent="0.25">
      <c r="A55" s="324" t="s">
        <v>293</v>
      </c>
      <c r="B55" s="312" t="s">
        <v>2508</v>
      </c>
      <c r="C55" s="311" t="s">
        <v>295</v>
      </c>
      <c r="D55" s="327">
        <v>8.8770000000000007</v>
      </c>
    </row>
    <row r="56" spans="1:4" x14ac:dyDescent="0.25">
      <c r="A56" s="324" t="s">
        <v>296</v>
      </c>
      <c r="B56" s="312" t="s">
        <v>2509</v>
      </c>
      <c r="C56" s="311" t="s">
        <v>209</v>
      </c>
      <c r="D56" s="327">
        <v>19.527000000000001</v>
      </c>
    </row>
    <row r="57" spans="1:4" x14ac:dyDescent="0.25">
      <c r="A57" s="324" t="s">
        <v>298</v>
      </c>
      <c r="B57" s="312" t="s">
        <v>299</v>
      </c>
      <c r="C57" s="311" t="s">
        <v>199</v>
      </c>
      <c r="D57" s="327">
        <v>13.026</v>
      </c>
    </row>
    <row r="58" spans="1:4" x14ac:dyDescent="0.25">
      <c r="A58" s="324" t="s">
        <v>300</v>
      </c>
      <c r="B58" s="312" t="s">
        <v>301</v>
      </c>
      <c r="C58" s="311" t="s">
        <v>199</v>
      </c>
      <c r="D58" s="327">
        <v>18.18</v>
      </c>
    </row>
    <row r="59" spans="1:4" x14ac:dyDescent="0.25">
      <c r="A59" s="324" t="s">
        <v>302</v>
      </c>
      <c r="B59" s="312" t="s">
        <v>2510</v>
      </c>
      <c r="C59" s="311" t="s">
        <v>284</v>
      </c>
      <c r="D59" s="327">
        <v>1.427</v>
      </c>
    </row>
    <row r="60" spans="1:4" x14ac:dyDescent="0.25">
      <c r="A60" s="324" t="s">
        <v>304</v>
      </c>
      <c r="B60" s="312" t="s">
        <v>2400</v>
      </c>
      <c r="C60" s="311" t="s">
        <v>306</v>
      </c>
      <c r="D60" s="327">
        <v>2.2719999999999998</v>
      </c>
    </row>
    <row r="61" spans="1:4" x14ac:dyDescent="0.25">
      <c r="A61" s="324" t="s">
        <v>307</v>
      </c>
      <c r="B61" s="312" t="s">
        <v>308</v>
      </c>
      <c r="C61" s="311" t="s">
        <v>198</v>
      </c>
      <c r="D61" s="327">
        <v>0.58699999999999997</v>
      </c>
    </row>
    <row r="62" spans="1:4" x14ac:dyDescent="0.25">
      <c r="A62" s="324" t="s">
        <v>309</v>
      </c>
      <c r="B62" s="312" t="s">
        <v>310</v>
      </c>
      <c r="C62" s="311" t="s">
        <v>311</v>
      </c>
      <c r="D62" s="327">
        <v>10.499000000000001</v>
      </c>
    </row>
    <row r="63" spans="1:4" x14ac:dyDescent="0.25">
      <c r="A63" s="324" t="s">
        <v>2511</v>
      </c>
      <c r="B63" s="312" t="s">
        <v>2512</v>
      </c>
      <c r="C63" s="311" t="s">
        <v>458</v>
      </c>
      <c r="D63" s="327">
        <v>0.75667692307692302</v>
      </c>
    </row>
    <row r="64" spans="1:4" x14ac:dyDescent="0.25">
      <c r="A64" s="324" t="s">
        <v>312</v>
      </c>
      <c r="B64" s="312" t="s">
        <v>2513</v>
      </c>
      <c r="C64" s="311" t="s">
        <v>198</v>
      </c>
      <c r="D64" s="327">
        <v>4.2510000000000003</v>
      </c>
    </row>
    <row r="65" spans="1:4" x14ac:dyDescent="0.25">
      <c r="A65" s="324" t="s">
        <v>314</v>
      </c>
      <c r="B65" s="312" t="s">
        <v>315</v>
      </c>
      <c r="C65" s="311" t="s">
        <v>284</v>
      </c>
      <c r="D65" s="327">
        <v>3.5609999999999999</v>
      </c>
    </row>
    <row r="66" spans="1:4" x14ac:dyDescent="0.25">
      <c r="A66" s="324" t="s">
        <v>316</v>
      </c>
      <c r="B66" s="312" t="s">
        <v>317</v>
      </c>
      <c r="C66" s="311" t="s">
        <v>318</v>
      </c>
      <c r="D66" s="327">
        <v>4.9000000000000002E-2</v>
      </c>
    </row>
    <row r="67" spans="1:4" x14ac:dyDescent="0.25">
      <c r="A67" s="324" t="s">
        <v>319</v>
      </c>
      <c r="B67" s="312" t="s">
        <v>320</v>
      </c>
      <c r="C67" s="311" t="s">
        <v>257</v>
      </c>
      <c r="D67" s="327">
        <v>38.707999999999998</v>
      </c>
    </row>
    <row r="68" spans="1:4" x14ac:dyDescent="0.25">
      <c r="A68" s="324" t="s">
        <v>321</v>
      </c>
      <c r="B68" s="312" t="s">
        <v>2514</v>
      </c>
      <c r="C68" s="311" t="s">
        <v>199</v>
      </c>
      <c r="D68" s="327">
        <v>165.95500000000001</v>
      </c>
    </row>
    <row r="69" spans="1:4" x14ac:dyDescent="0.25">
      <c r="A69" s="324" t="s">
        <v>323</v>
      </c>
      <c r="B69" s="312" t="s">
        <v>324</v>
      </c>
      <c r="C69" s="311" t="s">
        <v>325</v>
      </c>
      <c r="D69" s="327">
        <v>76.394999999999996</v>
      </c>
    </row>
    <row r="70" spans="1:4" x14ac:dyDescent="0.25">
      <c r="A70" s="324" t="s">
        <v>326</v>
      </c>
      <c r="B70" s="312" t="s">
        <v>327</v>
      </c>
      <c r="C70" s="311" t="s">
        <v>311</v>
      </c>
      <c r="D70" s="327">
        <v>3007.9679999999998</v>
      </c>
    </row>
    <row r="71" spans="1:4" x14ac:dyDescent="0.25">
      <c r="A71" s="324" t="s">
        <v>328</v>
      </c>
      <c r="B71" s="312" t="s">
        <v>329</v>
      </c>
      <c r="C71" s="311" t="s">
        <v>198</v>
      </c>
      <c r="D71" s="327">
        <v>3.7989999999999999</v>
      </c>
    </row>
    <row r="72" spans="1:4" x14ac:dyDescent="0.25">
      <c r="A72" s="326" t="s">
        <v>330</v>
      </c>
      <c r="B72" s="312" t="s">
        <v>331</v>
      </c>
      <c r="C72" s="316" t="s">
        <v>199</v>
      </c>
      <c r="D72" s="327">
        <v>41.454999999999998</v>
      </c>
    </row>
    <row r="73" spans="1:4" x14ac:dyDescent="0.25">
      <c r="A73" s="324" t="s">
        <v>332</v>
      </c>
      <c r="B73" s="312" t="s">
        <v>333</v>
      </c>
      <c r="C73" s="311" t="s">
        <v>311</v>
      </c>
      <c r="D73" s="327">
        <v>57.749000000000002</v>
      </c>
    </row>
    <row r="74" spans="1:4" x14ac:dyDescent="0.25">
      <c r="A74" s="324" t="s">
        <v>334</v>
      </c>
      <c r="B74" s="312" t="s">
        <v>335</v>
      </c>
      <c r="C74" s="311" t="s">
        <v>198</v>
      </c>
      <c r="D74" s="327">
        <v>20.326000000000001</v>
      </c>
    </row>
    <row r="75" spans="1:4" x14ac:dyDescent="0.25">
      <c r="A75" s="324" t="s">
        <v>338</v>
      </c>
      <c r="B75" s="312" t="s">
        <v>2515</v>
      </c>
      <c r="C75" s="311" t="s">
        <v>340</v>
      </c>
      <c r="D75" s="327">
        <v>6.5880000000000001</v>
      </c>
    </row>
    <row r="76" spans="1:4" x14ac:dyDescent="0.25">
      <c r="A76" s="324" t="s">
        <v>341</v>
      </c>
      <c r="B76" s="312" t="s">
        <v>342</v>
      </c>
      <c r="C76" s="311" t="s">
        <v>340</v>
      </c>
      <c r="D76" s="327">
        <v>8.3279999999999994</v>
      </c>
    </row>
    <row r="77" spans="1:4" x14ac:dyDescent="0.25">
      <c r="A77" s="324" t="s">
        <v>348</v>
      </c>
      <c r="B77" s="312" t="s">
        <v>349</v>
      </c>
      <c r="C77" s="311" t="s">
        <v>198</v>
      </c>
      <c r="D77" s="327">
        <v>3.0059999999999998</v>
      </c>
    </row>
    <row r="78" spans="1:4" x14ac:dyDescent="0.25">
      <c r="A78" s="324" t="s">
        <v>352</v>
      </c>
      <c r="B78" s="312" t="s">
        <v>2516</v>
      </c>
      <c r="C78" s="311" t="s">
        <v>354</v>
      </c>
      <c r="D78" s="327">
        <v>5.7210000000000001</v>
      </c>
    </row>
    <row r="79" spans="1:4" x14ac:dyDescent="0.25">
      <c r="A79" s="326" t="s">
        <v>355</v>
      </c>
      <c r="B79" s="312" t="s">
        <v>2517</v>
      </c>
      <c r="C79" s="311" t="s">
        <v>357</v>
      </c>
      <c r="D79" s="327">
        <v>7.901385759729135</v>
      </c>
    </row>
    <row r="80" spans="1:4" x14ac:dyDescent="0.25">
      <c r="A80" s="324" t="s">
        <v>358</v>
      </c>
      <c r="B80" s="312" t="s">
        <v>2518</v>
      </c>
      <c r="C80" s="311" t="s">
        <v>360</v>
      </c>
      <c r="D80" s="327">
        <v>11.605</v>
      </c>
    </row>
    <row r="81" spans="1:4" x14ac:dyDescent="0.25">
      <c r="A81" s="324" t="s">
        <v>361</v>
      </c>
      <c r="B81" s="312" t="s">
        <v>2519</v>
      </c>
      <c r="C81" s="316" t="s">
        <v>354</v>
      </c>
      <c r="D81" s="327">
        <v>4.766</v>
      </c>
    </row>
    <row r="82" spans="1:4" x14ac:dyDescent="0.25">
      <c r="A82" s="324" t="s">
        <v>363</v>
      </c>
      <c r="B82" s="312" t="s">
        <v>364</v>
      </c>
      <c r="C82" s="311" t="s">
        <v>273</v>
      </c>
      <c r="D82" s="327">
        <v>2.99</v>
      </c>
    </row>
    <row r="83" spans="1:4" x14ac:dyDescent="0.25">
      <c r="A83" s="324" t="s">
        <v>365</v>
      </c>
      <c r="B83" s="312" t="s">
        <v>366</v>
      </c>
      <c r="C83" s="311" t="s">
        <v>198</v>
      </c>
      <c r="D83" s="327">
        <v>33.174999999999997</v>
      </c>
    </row>
    <row r="84" spans="1:4" x14ac:dyDescent="0.25">
      <c r="A84" s="324" t="s">
        <v>367</v>
      </c>
      <c r="B84" s="312" t="s">
        <v>368</v>
      </c>
      <c r="C84" s="311" t="s">
        <v>198</v>
      </c>
      <c r="D84" s="327">
        <v>2.3929999999999998</v>
      </c>
    </row>
    <row r="85" spans="1:4" x14ac:dyDescent="0.25">
      <c r="A85" s="324" t="s">
        <v>372</v>
      </c>
      <c r="B85" s="312" t="s">
        <v>373</v>
      </c>
      <c r="C85" s="311" t="s">
        <v>371</v>
      </c>
      <c r="D85" s="327">
        <v>46.322000000000003</v>
      </c>
    </row>
    <row r="86" spans="1:4" x14ac:dyDescent="0.25">
      <c r="A86" s="324" t="s">
        <v>374</v>
      </c>
      <c r="B86" s="313" t="s">
        <v>375</v>
      </c>
      <c r="C86" s="316" t="s">
        <v>371</v>
      </c>
      <c r="D86" s="327">
        <v>54.475000000000001</v>
      </c>
    </row>
    <row r="87" spans="1:4" x14ac:dyDescent="0.25">
      <c r="A87" s="324" t="s">
        <v>376</v>
      </c>
      <c r="B87" s="312" t="s">
        <v>377</v>
      </c>
      <c r="C87" s="311" t="s">
        <v>378</v>
      </c>
      <c r="D87" s="327">
        <v>5594.4219999999996</v>
      </c>
    </row>
    <row r="88" spans="1:4" x14ac:dyDescent="0.25">
      <c r="A88" s="324" t="s">
        <v>379</v>
      </c>
      <c r="B88" s="312" t="s">
        <v>380</v>
      </c>
      <c r="C88" s="311" t="s">
        <v>381</v>
      </c>
      <c r="D88" s="327">
        <v>3.1019999999999999</v>
      </c>
    </row>
    <row r="89" spans="1:4" x14ac:dyDescent="0.25">
      <c r="A89" s="324" t="s">
        <v>382</v>
      </c>
      <c r="B89" s="312" t="s">
        <v>383</v>
      </c>
      <c r="C89" s="311" t="s">
        <v>384</v>
      </c>
      <c r="D89" s="327">
        <v>1997.7639999999999</v>
      </c>
    </row>
    <row r="90" spans="1:4" x14ac:dyDescent="0.25">
      <c r="A90" s="324" t="s">
        <v>385</v>
      </c>
      <c r="B90" s="312" t="s">
        <v>386</v>
      </c>
      <c r="C90" s="311" t="s">
        <v>387</v>
      </c>
      <c r="D90" s="327">
        <v>0.35399999999999998</v>
      </c>
    </row>
    <row r="91" spans="1:4" x14ac:dyDescent="0.25">
      <c r="A91" s="324" t="s">
        <v>388</v>
      </c>
      <c r="B91" s="312" t="s">
        <v>389</v>
      </c>
      <c r="C91" s="311" t="s">
        <v>200</v>
      </c>
      <c r="D91" s="327">
        <v>12.944000000000001</v>
      </c>
    </row>
    <row r="92" spans="1:4" x14ac:dyDescent="0.25">
      <c r="A92" s="324" t="s">
        <v>390</v>
      </c>
      <c r="B92" s="312" t="s">
        <v>391</v>
      </c>
      <c r="C92" s="311" t="s">
        <v>198</v>
      </c>
      <c r="D92" s="327">
        <v>92.116</v>
      </c>
    </row>
    <row r="93" spans="1:4" x14ac:dyDescent="0.25">
      <c r="A93" s="324" t="s">
        <v>392</v>
      </c>
      <c r="B93" s="312" t="s">
        <v>393</v>
      </c>
      <c r="C93" s="311" t="s">
        <v>209</v>
      </c>
      <c r="D93" s="327">
        <v>3.8359999999999999</v>
      </c>
    </row>
    <row r="94" spans="1:4" x14ac:dyDescent="0.25">
      <c r="A94" s="324" t="s">
        <v>394</v>
      </c>
      <c r="B94" s="312" t="s">
        <v>395</v>
      </c>
      <c r="C94" s="311" t="s">
        <v>396</v>
      </c>
      <c r="D94" s="327">
        <v>1.617</v>
      </c>
    </row>
    <row r="95" spans="1:4" x14ac:dyDescent="0.25">
      <c r="A95" s="324" t="s">
        <v>397</v>
      </c>
      <c r="B95" s="312" t="s">
        <v>2520</v>
      </c>
      <c r="C95" s="311" t="s">
        <v>381</v>
      </c>
      <c r="D95" s="327">
        <v>1.9650000000000001</v>
      </c>
    </row>
    <row r="96" spans="1:4" x14ac:dyDescent="0.25">
      <c r="A96" s="324" t="s">
        <v>399</v>
      </c>
      <c r="B96" s="312" t="s">
        <v>400</v>
      </c>
      <c r="C96" s="311" t="s">
        <v>284</v>
      </c>
      <c r="D96" s="327">
        <v>0.89300000000000002</v>
      </c>
    </row>
    <row r="97" spans="1:4" x14ac:dyDescent="0.25">
      <c r="A97" s="324" t="s">
        <v>401</v>
      </c>
      <c r="B97" s="312" t="s">
        <v>2521</v>
      </c>
      <c r="C97" s="311" t="s">
        <v>284</v>
      </c>
      <c r="D97" s="327">
        <v>2.5099999999999998</v>
      </c>
    </row>
    <row r="98" spans="1:4" x14ac:dyDescent="0.25">
      <c r="A98" s="324" t="s">
        <v>403</v>
      </c>
      <c r="B98" s="312" t="s">
        <v>404</v>
      </c>
      <c r="C98" s="311" t="s">
        <v>405</v>
      </c>
      <c r="D98" s="327">
        <v>4.8899999999999997</v>
      </c>
    </row>
    <row r="99" spans="1:4" x14ac:dyDescent="0.25">
      <c r="A99" s="324" t="s">
        <v>409</v>
      </c>
      <c r="B99" s="312" t="s">
        <v>410</v>
      </c>
      <c r="C99" s="311" t="s">
        <v>295</v>
      </c>
      <c r="D99" s="327">
        <v>0.77400000000000002</v>
      </c>
    </row>
    <row r="100" spans="1:4" x14ac:dyDescent="0.25">
      <c r="A100" s="324" t="s">
        <v>411</v>
      </c>
      <c r="B100" s="312" t="s">
        <v>412</v>
      </c>
      <c r="C100" s="311" t="s">
        <v>413</v>
      </c>
      <c r="D100" s="327">
        <v>2.4169999999999998</v>
      </c>
    </row>
    <row r="101" spans="1:4" x14ac:dyDescent="0.25">
      <c r="A101" s="324" t="s">
        <v>414</v>
      </c>
      <c r="B101" s="312" t="s">
        <v>415</v>
      </c>
      <c r="C101" s="311" t="s">
        <v>405</v>
      </c>
      <c r="D101" s="327">
        <v>3.14</v>
      </c>
    </row>
    <row r="102" spans="1:4" x14ac:dyDescent="0.25">
      <c r="A102" s="324" t="s">
        <v>416</v>
      </c>
      <c r="B102" s="312" t="s">
        <v>417</v>
      </c>
      <c r="C102" s="311" t="s">
        <v>418</v>
      </c>
      <c r="D102" s="327">
        <v>5.83</v>
      </c>
    </row>
    <row r="103" spans="1:4" x14ac:dyDescent="0.25">
      <c r="A103" s="324" t="s">
        <v>419</v>
      </c>
      <c r="B103" s="312" t="s">
        <v>420</v>
      </c>
      <c r="C103" s="311" t="s">
        <v>199</v>
      </c>
      <c r="D103" s="327">
        <v>2.2650000000000001</v>
      </c>
    </row>
    <row r="104" spans="1:4" x14ac:dyDescent="0.25">
      <c r="A104" s="324" t="s">
        <v>421</v>
      </c>
      <c r="B104" s="312" t="s">
        <v>422</v>
      </c>
      <c r="C104" s="311" t="s">
        <v>284</v>
      </c>
      <c r="D104" s="327">
        <v>2.3959999999999999</v>
      </c>
    </row>
    <row r="105" spans="1:4" x14ac:dyDescent="0.25">
      <c r="A105" s="326" t="s">
        <v>426</v>
      </c>
      <c r="B105" s="312" t="s">
        <v>2522</v>
      </c>
      <c r="C105" s="311" t="s">
        <v>198</v>
      </c>
      <c r="D105" s="327">
        <v>6.468</v>
      </c>
    </row>
    <row r="106" spans="1:4" x14ac:dyDescent="0.25">
      <c r="A106" s="324" t="s">
        <v>428</v>
      </c>
      <c r="B106" s="312" t="s">
        <v>429</v>
      </c>
      <c r="C106" s="311" t="s">
        <v>405</v>
      </c>
      <c r="D106" s="327">
        <v>31.7364</v>
      </c>
    </row>
    <row r="107" spans="1:4" x14ac:dyDescent="0.25">
      <c r="A107" s="324" t="s">
        <v>430</v>
      </c>
      <c r="B107" s="312" t="s">
        <v>431</v>
      </c>
      <c r="C107" s="311" t="s">
        <v>432</v>
      </c>
      <c r="D107" s="327">
        <v>20.207999999999998</v>
      </c>
    </row>
    <row r="108" spans="1:4" x14ac:dyDescent="0.25">
      <c r="A108" s="324" t="s">
        <v>433</v>
      </c>
      <c r="B108" s="312" t="s">
        <v>434</v>
      </c>
      <c r="C108" s="311" t="s">
        <v>198</v>
      </c>
      <c r="D108" s="327">
        <v>11.545</v>
      </c>
    </row>
    <row r="109" spans="1:4" x14ac:dyDescent="0.25">
      <c r="A109" s="324" t="s">
        <v>435</v>
      </c>
      <c r="B109" s="312" t="s">
        <v>436</v>
      </c>
      <c r="C109" s="311" t="s">
        <v>437</v>
      </c>
      <c r="D109" s="327">
        <v>566.86300000000006</v>
      </c>
    </row>
    <row r="110" spans="1:4" x14ac:dyDescent="0.25">
      <c r="A110" s="324" t="s">
        <v>438</v>
      </c>
      <c r="B110" s="312" t="s">
        <v>439</v>
      </c>
      <c r="C110" s="311" t="s">
        <v>295</v>
      </c>
      <c r="D110" s="327">
        <v>4.5419999999999998</v>
      </c>
    </row>
    <row r="111" spans="1:4" x14ac:dyDescent="0.25">
      <c r="A111" s="324" t="s">
        <v>440</v>
      </c>
      <c r="B111" s="312" t="s">
        <v>441</v>
      </c>
      <c r="C111" s="311" t="s">
        <v>442</v>
      </c>
      <c r="D111" s="327">
        <v>1.018</v>
      </c>
    </row>
    <row r="112" spans="1:4" x14ac:dyDescent="0.25">
      <c r="A112" s="324" t="s">
        <v>443</v>
      </c>
      <c r="B112" s="312" t="s">
        <v>444</v>
      </c>
      <c r="C112" s="311" t="s">
        <v>445</v>
      </c>
      <c r="D112" s="327">
        <v>10.403</v>
      </c>
    </row>
    <row r="113" spans="1:4" x14ac:dyDescent="0.25">
      <c r="A113" s="324" t="s">
        <v>446</v>
      </c>
      <c r="B113" s="312" t="s">
        <v>447</v>
      </c>
      <c r="C113" s="311" t="s">
        <v>318</v>
      </c>
      <c r="D113" s="327">
        <v>38.457999999999998</v>
      </c>
    </row>
    <row r="114" spans="1:4" x14ac:dyDescent="0.25">
      <c r="A114" s="324" t="s">
        <v>448</v>
      </c>
      <c r="B114" s="312" t="s">
        <v>449</v>
      </c>
      <c r="C114" s="311" t="s">
        <v>199</v>
      </c>
      <c r="D114" s="327">
        <v>13.09</v>
      </c>
    </row>
    <row r="115" spans="1:4" x14ac:dyDescent="0.25">
      <c r="A115" s="324" t="s">
        <v>450</v>
      </c>
      <c r="B115" s="312" t="s">
        <v>451</v>
      </c>
      <c r="C115" s="311" t="s">
        <v>452</v>
      </c>
      <c r="D115" s="327">
        <v>7.7229999999999999</v>
      </c>
    </row>
    <row r="116" spans="1:4" x14ac:dyDescent="0.25">
      <c r="A116" s="324" t="s">
        <v>453</v>
      </c>
      <c r="B116" s="312" t="s">
        <v>454</v>
      </c>
      <c r="C116" s="311" t="s">
        <v>455</v>
      </c>
      <c r="D116" s="327">
        <v>3578.55</v>
      </c>
    </row>
    <row r="117" spans="1:4" x14ac:dyDescent="0.25">
      <c r="A117" s="324" t="s">
        <v>456</v>
      </c>
      <c r="B117" s="312" t="s">
        <v>2401</v>
      </c>
      <c r="C117" s="311" t="s">
        <v>458</v>
      </c>
      <c r="D117" s="327">
        <v>44.488</v>
      </c>
    </row>
    <row r="118" spans="1:4" x14ac:dyDescent="0.25">
      <c r="A118" s="326" t="s">
        <v>459</v>
      </c>
      <c r="B118" s="312" t="s">
        <v>460</v>
      </c>
      <c r="C118" s="311" t="s">
        <v>461</v>
      </c>
      <c r="D118" s="327">
        <v>2542.982</v>
      </c>
    </row>
    <row r="119" spans="1:4" x14ac:dyDescent="0.25">
      <c r="A119" s="324" t="s">
        <v>462</v>
      </c>
      <c r="B119" s="312" t="s">
        <v>2523</v>
      </c>
      <c r="C119" s="311" t="s">
        <v>464</v>
      </c>
      <c r="D119" s="327">
        <v>1064.77</v>
      </c>
    </row>
    <row r="120" spans="1:4" x14ac:dyDescent="0.25">
      <c r="A120" s="325" t="s">
        <v>465</v>
      </c>
      <c r="B120" s="312" t="s">
        <v>466</v>
      </c>
      <c r="C120" s="314" t="s">
        <v>200</v>
      </c>
      <c r="D120" s="327">
        <v>14.584</v>
      </c>
    </row>
    <row r="121" spans="1:4" x14ac:dyDescent="0.25">
      <c r="A121" s="324" t="s">
        <v>467</v>
      </c>
      <c r="B121" s="312" t="s">
        <v>468</v>
      </c>
      <c r="C121" s="311" t="s">
        <v>198</v>
      </c>
      <c r="D121" s="327">
        <v>0.80100000000000005</v>
      </c>
    </row>
    <row r="122" spans="1:4" x14ac:dyDescent="0.25">
      <c r="A122" s="324" t="s">
        <v>469</v>
      </c>
      <c r="B122" s="312" t="s">
        <v>470</v>
      </c>
      <c r="C122" s="311" t="s">
        <v>452</v>
      </c>
      <c r="D122" s="327">
        <v>4.1500000000000004</v>
      </c>
    </row>
    <row r="123" spans="1:4" x14ac:dyDescent="0.25">
      <c r="A123" s="324" t="s">
        <v>471</v>
      </c>
      <c r="B123" s="312" t="s">
        <v>472</v>
      </c>
      <c r="C123" s="311" t="s">
        <v>452</v>
      </c>
      <c r="D123" s="327">
        <v>4.1500000000000004</v>
      </c>
    </row>
    <row r="124" spans="1:4" x14ac:dyDescent="0.25">
      <c r="A124" s="324" t="s">
        <v>473</v>
      </c>
      <c r="B124" s="312" t="s">
        <v>474</v>
      </c>
      <c r="C124" s="311" t="s">
        <v>432</v>
      </c>
      <c r="D124" s="327">
        <v>12.331</v>
      </c>
    </row>
    <row r="125" spans="1:4" x14ac:dyDescent="0.25">
      <c r="A125" s="324" t="s">
        <v>479</v>
      </c>
      <c r="B125" s="312" t="s">
        <v>480</v>
      </c>
      <c r="C125" s="311" t="s">
        <v>198</v>
      </c>
      <c r="D125" s="327">
        <v>21.777000000000001</v>
      </c>
    </row>
    <row r="126" spans="1:4" x14ac:dyDescent="0.25">
      <c r="A126" s="324" t="s">
        <v>481</v>
      </c>
      <c r="B126" s="312" t="s">
        <v>482</v>
      </c>
      <c r="C126" s="311" t="s">
        <v>284</v>
      </c>
      <c r="D126" s="327">
        <v>15.005000000000001</v>
      </c>
    </row>
    <row r="127" spans="1:4" x14ac:dyDescent="0.25">
      <c r="A127" s="324" t="s">
        <v>483</v>
      </c>
      <c r="B127" s="312" t="s">
        <v>484</v>
      </c>
      <c r="C127" s="311" t="s">
        <v>198</v>
      </c>
      <c r="D127" s="327">
        <v>15.489000000000001</v>
      </c>
    </row>
    <row r="128" spans="1:4" x14ac:dyDescent="0.25">
      <c r="A128" s="324" t="s">
        <v>485</v>
      </c>
      <c r="B128" s="312" t="s">
        <v>486</v>
      </c>
      <c r="C128" s="311" t="s">
        <v>200</v>
      </c>
      <c r="D128" s="327">
        <v>13.803000000000001</v>
      </c>
    </row>
    <row r="129" spans="1:4" x14ac:dyDescent="0.25">
      <c r="A129" s="324" t="s">
        <v>487</v>
      </c>
      <c r="B129" s="312" t="s">
        <v>2524</v>
      </c>
      <c r="C129" s="311" t="s">
        <v>311</v>
      </c>
      <c r="D129" s="327">
        <v>4.4950000000000001</v>
      </c>
    </row>
    <row r="130" spans="1:4" x14ac:dyDescent="0.25">
      <c r="A130" s="324" t="s">
        <v>489</v>
      </c>
      <c r="B130" s="312" t="s">
        <v>2525</v>
      </c>
      <c r="C130" s="311" t="s">
        <v>491</v>
      </c>
      <c r="D130" s="327">
        <v>4.3079999999999998</v>
      </c>
    </row>
    <row r="131" spans="1:4" x14ac:dyDescent="0.25">
      <c r="A131" s="324" t="s">
        <v>492</v>
      </c>
      <c r="B131" s="312" t="s">
        <v>2526</v>
      </c>
      <c r="C131" s="311" t="s">
        <v>494</v>
      </c>
      <c r="D131" s="327">
        <v>8.3339999999999996</v>
      </c>
    </row>
    <row r="132" spans="1:4" x14ac:dyDescent="0.25">
      <c r="A132" s="324" t="s">
        <v>495</v>
      </c>
      <c r="B132" s="312" t="s">
        <v>496</v>
      </c>
      <c r="C132" s="311" t="s">
        <v>198</v>
      </c>
      <c r="D132" s="327">
        <v>0.35599999999999998</v>
      </c>
    </row>
    <row r="133" spans="1:4" x14ac:dyDescent="0.25">
      <c r="A133" s="324" t="s">
        <v>497</v>
      </c>
      <c r="B133" s="312" t="s">
        <v>498</v>
      </c>
      <c r="C133" s="311" t="s">
        <v>198</v>
      </c>
      <c r="D133" s="327">
        <v>3.1E-2</v>
      </c>
    </row>
    <row r="134" spans="1:4" x14ac:dyDescent="0.25">
      <c r="A134" s="324" t="s">
        <v>499</v>
      </c>
      <c r="B134" s="312" t="s">
        <v>500</v>
      </c>
      <c r="C134" s="311" t="s">
        <v>198</v>
      </c>
      <c r="D134" s="327">
        <v>0.13800000000000001</v>
      </c>
    </row>
    <row r="135" spans="1:4" x14ac:dyDescent="0.25">
      <c r="A135" s="324" t="s">
        <v>501</v>
      </c>
      <c r="B135" s="312" t="s">
        <v>502</v>
      </c>
      <c r="C135" s="311" t="s">
        <v>198</v>
      </c>
      <c r="D135" s="327">
        <v>76.744</v>
      </c>
    </row>
    <row r="136" spans="1:4" x14ac:dyDescent="0.25">
      <c r="A136" s="324" t="s">
        <v>503</v>
      </c>
      <c r="B136" s="312" t="s">
        <v>504</v>
      </c>
      <c r="C136" s="311" t="s">
        <v>284</v>
      </c>
      <c r="D136" s="327">
        <v>20.76</v>
      </c>
    </row>
    <row r="137" spans="1:4" x14ac:dyDescent="0.25">
      <c r="A137" s="324" t="s">
        <v>505</v>
      </c>
      <c r="B137" s="312" t="s">
        <v>506</v>
      </c>
      <c r="C137" s="311" t="s">
        <v>396</v>
      </c>
      <c r="D137" s="327">
        <v>4.577</v>
      </c>
    </row>
    <row r="138" spans="1:4" x14ac:dyDescent="0.25">
      <c r="A138" s="324" t="s">
        <v>507</v>
      </c>
      <c r="B138" s="312" t="s">
        <v>508</v>
      </c>
      <c r="C138" s="311" t="s">
        <v>464</v>
      </c>
      <c r="D138" s="327">
        <v>2642.7069999999999</v>
      </c>
    </row>
    <row r="139" spans="1:4" x14ac:dyDescent="0.25">
      <c r="A139" s="324" t="s">
        <v>509</v>
      </c>
      <c r="B139" s="312" t="s">
        <v>510</v>
      </c>
      <c r="C139" s="311" t="s">
        <v>209</v>
      </c>
      <c r="D139" s="327">
        <v>0.65800000000000003</v>
      </c>
    </row>
    <row r="140" spans="1:4" x14ac:dyDescent="0.25">
      <c r="A140" s="324" t="s">
        <v>511</v>
      </c>
      <c r="B140" s="312" t="s">
        <v>512</v>
      </c>
      <c r="C140" s="311" t="s">
        <v>513</v>
      </c>
      <c r="D140" s="327">
        <v>2.0579999999999998</v>
      </c>
    </row>
    <row r="141" spans="1:4" x14ac:dyDescent="0.25">
      <c r="A141" s="324" t="s">
        <v>514</v>
      </c>
      <c r="B141" s="312" t="s">
        <v>2527</v>
      </c>
      <c r="C141" s="311" t="s">
        <v>295</v>
      </c>
      <c r="D141" s="327">
        <v>166.78200000000001</v>
      </c>
    </row>
    <row r="142" spans="1:4" x14ac:dyDescent="0.25">
      <c r="A142" s="324" t="s">
        <v>516</v>
      </c>
      <c r="B142" s="312" t="s">
        <v>517</v>
      </c>
      <c r="C142" s="311" t="s">
        <v>209</v>
      </c>
      <c r="D142" s="327">
        <v>0.49399999999999999</v>
      </c>
    </row>
    <row r="143" spans="1:4" x14ac:dyDescent="0.25">
      <c r="A143" s="324" t="s">
        <v>518</v>
      </c>
      <c r="B143" s="312" t="s">
        <v>519</v>
      </c>
      <c r="C143" s="311" t="s">
        <v>284</v>
      </c>
      <c r="D143" s="327">
        <v>115.84</v>
      </c>
    </row>
    <row r="144" spans="1:4" x14ac:dyDescent="0.25">
      <c r="A144" s="324" t="s">
        <v>520</v>
      </c>
      <c r="B144" s="312" t="s">
        <v>2528</v>
      </c>
      <c r="C144" s="311" t="s">
        <v>522</v>
      </c>
      <c r="D144" s="327">
        <v>217.54400000000001</v>
      </c>
    </row>
    <row r="145" spans="1:4" x14ac:dyDescent="0.25">
      <c r="A145" s="324" t="s">
        <v>523</v>
      </c>
      <c r="B145" s="312" t="s">
        <v>524</v>
      </c>
      <c r="C145" s="311" t="s">
        <v>199</v>
      </c>
      <c r="D145" s="327">
        <v>10.26</v>
      </c>
    </row>
    <row r="146" spans="1:4" x14ac:dyDescent="0.25">
      <c r="A146" s="324" t="s">
        <v>525</v>
      </c>
      <c r="B146" s="312" t="s">
        <v>526</v>
      </c>
      <c r="C146" s="311" t="s">
        <v>209</v>
      </c>
      <c r="D146" s="327">
        <v>6.2290000000000001</v>
      </c>
    </row>
    <row r="147" spans="1:4" x14ac:dyDescent="0.25">
      <c r="A147" s="324" t="s">
        <v>527</v>
      </c>
      <c r="B147" s="312" t="s">
        <v>528</v>
      </c>
      <c r="C147" s="311" t="s">
        <v>199</v>
      </c>
      <c r="D147" s="327">
        <v>0.81699999999999995</v>
      </c>
    </row>
    <row r="148" spans="1:4" x14ac:dyDescent="0.25">
      <c r="A148" s="324" t="s">
        <v>529</v>
      </c>
      <c r="B148" s="312" t="s">
        <v>2529</v>
      </c>
      <c r="C148" s="311" t="s">
        <v>295</v>
      </c>
      <c r="D148" s="327">
        <v>5.5419999999999998</v>
      </c>
    </row>
    <row r="149" spans="1:4" x14ac:dyDescent="0.25">
      <c r="A149" s="324" t="s">
        <v>1707</v>
      </c>
      <c r="B149" s="312" t="s">
        <v>2530</v>
      </c>
      <c r="C149" s="311" t="s">
        <v>199</v>
      </c>
      <c r="D149" s="327">
        <v>7.7649999999999997</v>
      </c>
    </row>
    <row r="150" spans="1:4" x14ac:dyDescent="0.25">
      <c r="A150" s="324" t="s">
        <v>531</v>
      </c>
      <c r="B150" s="312" t="s">
        <v>532</v>
      </c>
      <c r="C150" s="311" t="s">
        <v>491</v>
      </c>
      <c r="D150" s="327">
        <v>0.61099999999999999</v>
      </c>
    </row>
    <row r="151" spans="1:4" x14ac:dyDescent="0.25">
      <c r="A151" s="324" t="s">
        <v>1811</v>
      </c>
      <c r="B151" s="312" t="s">
        <v>1812</v>
      </c>
      <c r="C151" s="311" t="s">
        <v>199</v>
      </c>
      <c r="D151" s="327">
        <v>0.79900000000000004</v>
      </c>
    </row>
    <row r="152" spans="1:4" x14ac:dyDescent="0.25">
      <c r="A152" s="324" t="s">
        <v>533</v>
      </c>
      <c r="B152" s="312" t="s">
        <v>534</v>
      </c>
      <c r="C152" s="311" t="s">
        <v>452</v>
      </c>
      <c r="D152" s="327">
        <v>0.92200000000000004</v>
      </c>
    </row>
    <row r="153" spans="1:4" x14ac:dyDescent="0.25">
      <c r="A153" s="324" t="s">
        <v>535</v>
      </c>
      <c r="B153" s="312" t="s">
        <v>536</v>
      </c>
      <c r="C153" s="311" t="s">
        <v>198</v>
      </c>
      <c r="D153" s="327">
        <v>404.68200000000002</v>
      </c>
    </row>
    <row r="154" spans="1:4" x14ac:dyDescent="0.25">
      <c r="A154" s="324" t="s">
        <v>537</v>
      </c>
      <c r="B154" s="312" t="s">
        <v>538</v>
      </c>
      <c r="C154" s="311" t="s">
        <v>199</v>
      </c>
      <c r="D154" s="327">
        <v>215.922</v>
      </c>
    </row>
    <row r="155" spans="1:4" x14ac:dyDescent="0.25">
      <c r="A155" s="324" t="s">
        <v>543</v>
      </c>
      <c r="B155" s="312" t="s">
        <v>544</v>
      </c>
      <c r="C155" s="311" t="s">
        <v>396</v>
      </c>
      <c r="D155" s="327">
        <v>15.476000000000001</v>
      </c>
    </row>
    <row r="156" spans="1:4" x14ac:dyDescent="0.25">
      <c r="A156" s="324" t="s">
        <v>545</v>
      </c>
      <c r="B156" s="312" t="s">
        <v>546</v>
      </c>
      <c r="C156" s="311" t="s">
        <v>284</v>
      </c>
      <c r="D156" s="327">
        <v>41.63</v>
      </c>
    </row>
    <row r="157" spans="1:4" x14ac:dyDescent="0.25">
      <c r="A157" s="324" t="s">
        <v>547</v>
      </c>
      <c r="B157" s="312" t="s">
        <v>2531</v>
      </c>
      <c r="C157" s="311" t="s">
        <v>284</v>
      </c>
      <c r="D157" s="327">
        <v>48.396999999999998</v>
      </c>
    </row>
    <row r="158" spans="1:4" x14ac:dyDescent="0.25">
      <c r="A158" s="324" t="s">
        <v>549</v>
      </c>
      <c r="B158" s="312" t="s">
        <v>2532</v>
      </c>
      <c r="C158" s="311" t="s">
        <v>199</v>
      </c>
      <c r="D158" s="327">
        <v>10.273999999999999</v>
      </c>
    </row>
    <row r="159" spans="1:4" x14ac:dyDescent="0.25">
      <c r="A159" s="324" t="s">
        <v>551</v>
      </c>
      <c r="B159" s="312" t="s">
        <v>2533</v>
      </c>
      <c r="C159" s="311" t="s">
        <v>553</v>
      </c>
      <c r="D159" s="327">
        <v>228.37</v>
      </c>
    </row>
    <row r="160" spans="1:4" x14ac:dyDescent="0.25">
      <c r="A160" s="324" t="s">
        <v>554</v>
      </c>
      <c r="B160" s="312" t="s">
        <v>555</v>
      </c>
      <c r="C160" s="311" t="s">
        <v>257</v>
      </c>
      <c r="D160" s="327">
        <v>404.09300000000002</v>
      </c>
    </row>
    <row r="161" spans="1:4" x14ac:dyDescent="0.25">
      <c r="A161" s="324" t="s">
        <v>2534</v>
      </c>
      <c r="B161" s="312" t="s">
        <v>2535</v>
      </c>
      <c r="C161" s="311" t="s">
        <v>553</v>
      </c>
      <c r="D161" s="327">
        <v>352.11399999999998</v>
      </c>
    </row>
    <row r="162" spans="1:4" x14ac:dyDescent="0.25">
      <c r="A162" s="324" t="s">
        <v>556</v>
      </c>
      <c r="B162" s="312" t="s">
        <v>557</v>
      </c>
      <c r="C162" s="311" t="s">
        <v>198</v>
      </c>
      <c r="D162" s="327">
        <v>1.0569999999999999</v>
      </c>
    </row>
    <row r="163" spans="1:4" x14ac:dyDescent="0.25">
      <c r="A163" s="324" t="s">
        <v>558</v>
      </c>
      <c r="B163" s="312" t="s">
        <v>559</v>
      </c>
      <c r="C163" s="311" t="s">
        <v>452</v>
      </c>
      <c r="D163" s="327">
        <v>1.0069999999999999</v>
      </c>
    </row>
    <row r="164" spans="1:4" x14ac:dyDescent="0.25">
      <c r="A164" s="324" t="s">
        <v>560</v>
      </c>
      <c r="B164" s="312" t="s">
        <v>561</v>
      </c>
      <c r="C164" s="311" t="s">
        <v>452</v>
      </c>
      <c r="D164" s="327">
        <v>0.77</v>
      </c>
    </row>
    <row r="165" spans="1:4" x14ac:dyDescent="0.25">
      <c r="A165" s="324" t="s">
        <v>562</v>
      </c>
      <c r="B165" s="312" t="s">
        <v>563</v>
      </c>
      <c r="C165" s="311" t="s">
        <v>442</v>
      </c>
      <c r="D165" s="327">
        <v>4.8209999999999997</v>
      </c>
    </row>
    <row r="166" spans="1:4" x14ac:dyDescent="0.25">
      <c r="A166" s="324" t="s">
        <v>564</v>
      </c>
      <c r="B166" s="312" t="s">
        <v>565</v>
      </c>
      <c r="C166" s="311" t="s">
        <v>198</v>
      </c>
      <c r="D166" s="327">
        <v>1.7270000000000001</v>
      </c>
    </row>
    <row r="167" spans="1:4" x14ac:dyDescent="0.25">
      <c r="A167" s="324" t="s">
        <v>568</v>
      </c>
      <c r="B167" s="312" t="s">
        <v>569</v>
      </c>
      <c r="C167" s="311" t="s">
        <v>198</v>
      </c>
      <c r="D167" s="327">
        <v>364.38799999999998</v>
      </c>
    </row>
    <row r="168" spans="1:4" x14ac:dyDescent="0.25">
      <c r="A168" s="324" t="s">
        <v>570</v>
      </c>
      <c r="B168" s="312" t="s">
        <v>2536</v>
      </c>
      <c r="C168" s="311" t="s">
        <v>284</v>
      </c>
      <c r="D168" s="327">
        <v>38.255000000000003</v>
      </c>
    </row>
    <row r="169" spans="1:4" x14ac:dyDescent="0.25">
      <c r="A169" s="324" t="s">
        <v>572</v>
      </c>
      <c r="B169" s="312" t="s">
        <v>2537</v>
      </c>
      <c r="C169" s="311" t="s">
        <v>574</v>
      </c>
      <c r="D169" s="327">
        <v>33.451000000000001</v>
      </c>
    </row>
    <row r="170" spans="1:4" x14ac:dyDescent="0.25">
      <c r="A170" s="325" t="s">
        <v>577</v>
      </c>
      <c r="B170" s="312" t="s">
        <v>2538</v>
      </c>
      <c r="C170" s="314" t="s">
        <v>284</v>
      </c>
      <c r="D170" s="327">
        <v>38.859000000000002</v>
      </c>
    </row>
    <row r="171" spans="1:4" x14ac:dyDescent="0.25">
      <c r="A171" s="324" t="s">
        <v>579</v>
      </c>
      <c r="B171" s="312" t="s">
        <v>580</v>
      </c>
      <c r="C171" s="311" t="s">
        <v>284</v>
      </c>
      <c r="D171" s="327">
        <v>37.311999999999998</v>
      </c>
    </row>
    <row r="172" spans="1:4" x14ac:dyDescent="0.25">
      <c r="A172" s="324" t="s">
        <v>581</v>
      </c>
      <c r="B172" s="312" t="s">
        <v>582</v>
      </c>
      <c r="C172" s="311" t="s">
        <v>257</v>
      </c>
      <c r="D172" s="327">
        <v>8.4689999999999994</v>
      </c>
    </row>
    <row r="173" spans="1:4" x14ac:dyDescent="0.25">
      <c r="A173" s="324" t="s">
        <v>583</v>
      </c>
      <c r="B173" s="312" t="s">
        <v>2539</v>
      </c>
      <c r="C173" s="311" t="s">
        <v>585</v>
      </c>
      <c r="D173" s="327">
        <v>334.51100000000002</v>
      </c>
    </row>
    <row r="174" spans="1:4" x14ac:dyDescent="0.25">
      <c r="A174" s="324" t="s">
        <v>586</v>
      </c>
      <c r="B174" s="312" t="s">
        <v>2540</v>
      </c>
      <c r="C174" s="311" t="s">
        <v>284</v>
      </c>
      <c r="D174" s="327">
        <v>41.765000000000001</v>
      </c>
    </row>
    <row r="175" spans="1:4" x14ac:dyDescent="0.25">
      <c r="A175" s="324" t="s">
        <v>588</v>
      </c>
      <c r="B175" s="312" t="s">
        <v>589</v>
      </c>
      <c r="C175" s="311" t="s">
        <v>284</v>
      </c>
      <c r="D175" s="327">
        <v>34.895000000000003</v>
      </c>
    </row>
    <row r="176" spans="1:4" x14ac:dyDescent="0.25">
      <c r="A176" s="324" t="s">
        <v>590</v>
      </c>
      <c r="B176" s="312" t="s">
        <v>591</v>
      </c>
      <c r="C176" s="311" t="s">
        <v>284</v>
      </c>
      <c r="D176" s="327">
        <v>42.442</v>
      </c>
    </row>
    <row r="177" spans="1:4" x14ac:dyDescent="0.25">
      <c r="A177" s="324" t="s">
        <v>592</v>
      </c>
      <c r="B177" s="312" t="s">
        <v>593</v>
      </c>
      <c r="C177" s="311" t="s">
        <v>284</v>
      </c>
      <c r="D177" s="327">
        <v>38.116</v>
      </c>
    </row>
    <row r="178" spans="1:4" x14ac:dyDescent="0.25">
      <c r="A178" s="324" t="s">
        <v>594</v>
      </c>
      <c r="B178" s="312" t="s">
        <v>595</v>
      </c>
      <c r="C178" s="311" t="s">
        <v>284</v>
      </c>
      <c r="D178" s="327">
        <v>66.180000000000021</v>
      </c>
    </row>
    <row r="179" spans="1:4" x14ac:dyDescent="0.25">
      <c r="A179" s="324" t="s">
        <v>596</v>
      </c>
      <c r="B179" s="312" t="s">
        <v>597</v>
      </c>
      <c r="C179" s="311" t="s">
        <v>216</v>
      </c>
      <c r="D179" s="327">
        <v>55.811999999999998</v>
      </c>
    </row>
    <row r="180" spans="1:4" x14ac:dyDescent="0.25">
      <c r="A180" s="324" t="s">
        <v>598</v>
      </c>
      <c r="B180" s="312" t="s">
        <v>599</v>
      </c>
      <c r="C180" s="311" t="s">
        <v>284</v>
      </c>
      <c r="D180" s="327">
        <v>39.359000000000002</v>
      </c>
    </row>
    <row r="181" spans="1:4" x14ac:dyDescent="0.25">
      <c r="A181" s="325" t="s">
        <v>600</v>
      </c>
      <c r="B181" s="312" t="s">
        <v>601</v>
      </c>
      <c r="C181" s="314" t="s">
        <v>257</v>
      </c>
      <c r="D181" s="327">
        <v>10.83</v>
      </c>
    </row>
    <row r="182" spans="1:4" x14ac:dyDescent="0.25">
      <c r="A182" s="324" t="s">
        <v>602</v>
      </c>
      <c r="B182" s="312" t="s">
        <v>603</v>
      </c>
      <c r="C182" s="311" t="s">
        <v>494</v>
      </c>
      <c r="D182" s="327">
        <v>1.258</v>
      </c>
    </row>
    <row r="183" spans="1:4" x14ac:dyDescent="0.25">
      <c r="A183" s="324" t="s">
        <v>604</v>
      </c>
      <c r="B183" s="312" t="s">
        <v>605</v>
      </c>
      <c r="C183" s="311" t="s">
        <v>198</v>
      </c>
      <c r="D183" s="327">
        <v>24.361000000000001</v>
      </c>
    </row>
    <row r="184" spans="1:4" x14ac:dyDescent="0.25">
      <c r="A184" s="324" t="s">
        <v>606</v>
      </c>
      <c r="B184" s="312" t="s">
        <v>2541</v>
      </c>
      <c r="C184" s="311" t="s">
        <v>198</v>
      </c>
      <c r="D184" s="327">
        <v>197.947</v>
      </c>
    </row>
    <row r="185" spans="1:4" x14ac:dyDescent="0.25">
      <c r="A185" s="324" t="s">
        <v>608</v>
      </c>
      <c r="B185" s="312" t="s">
        <v>609</v>
      </c>
      <c r="C185" s="311" t="s">
        <v>610</v>
      </c>
      <c r="D185" s="327">
        <v>0.432</v>
      </c>
    </row>
    <row r="186" spans="1:4" x14ac:dyDescent="0.25">
      <c r="A186" s="324" t="s">
        <v>613</v>
      </c>
      <c r="B186" s="312" t="s">
        <v>614</v>
      </c>
      <c r="C186" s="311" t="s">
        <v>200</v>
      </c>
      <c r="D186" s="327">
        <v>1.5229999999999999</v>
      </c>
    </row>
    <row r="187" spans="1:4" x14ac:dyDescent="0.25">
      <c r="A187" s="324" t="s">
        <v>615</v>
      </c>
      <c r="B187" s="312" t="s">
        <v>616</v>
      </c>
      <c r="C187" s="311" t="s">
        <v>209</v>
      </c>
      <c r="D187" s="327">
        <v>20.285</v>
      </c>
    </row>
    <row r="188" spans="1:4" x14ac:dyDescent="0.25">
      <c r="A188" s="324" t="s">
        <v>617</v>
      </c>
      <c r="B188" s="312" t="s">
        <v>618</v>
      </c>
      <c r="C188" s="311" t="s">
        <v>198</v>
      </c>
      <c r="D188" s="327">
        <v>21.768999999999998</v>
      </c>
    </row>
    <row r="189" spans="1:4" x14ac:dyDescent="0.25">
      <c r="A189" s="324" t="s">
        <v>619</v>
      </c>
      <c r="B189" s="312" t="s">
        <v>620</v>
      </c>
      <c r="C189" s="311" t="s">
        <v>371</v>
      </c>
      <c r="D189" s="327">
        <v>0.187</v>
      </c>
    </row>
    <row r="190" spans="1:4" x14ac:dyDescent="0.25">
      <c r="A190" s="324" t="s">
        <v>621</v>
      </c>
      <c r="B190" s="312" t="s">
        <v>622</v>
      </c>
      <c r="C190" s="311" t="s">
        <v>432</v>
      </c>
      <c r="D190" s="327">
        <v>0.21</v>
      </c>
    </row>
    <row r="191" spans="1:4" x14ac:dyDescent="0.25">
      <c r="A191" s="324" t="s">
        <v>623</v>
      </c>
      <c r="B191" s="312" t="s">
        <v>624</v>
      </c>
      <c r="C191" s="311" t="s">
        <v>625</v>
      </c>
      <c r="D191" s="327">
        <v>15.597</v>
      </c>
    </row>
    <row r="192" spans="1:4" x14ac:dyDescent="0.25">
      <c r="A192" s="324" t="s">
        <v>626</v>
      </c>
      <c r="B192" s="312" t="s">
        <v>627</v>
      </c>
      <c r="C192" s="311" t="s">
        <v>199</v>
      </c>
      <c r="D192" s="327">
        <v>1.145</v>
      </c>
    </row>
    <row r="193" spans="1:4" x14ac:dyDescent="0.25">
      <c r="A193" s="324" t="s">
        <v>628</v>
      </c>
      <c r="B193" s="312" t="s">
        <v>629</v>
      </c>
      <c r="C193" s="311" t="s">
        <v>396</v>
      </c>
      <c r="D193" s="327">
        <v>2.536</v>
      </c>
    </row>
    <row r="194" spans="1:4" x14ac:dyDescent="0.25">
      <c r="A194" s="324" t="s">
        <v>630</v>
      </c>
      <c r="B194" s="312" t="s">
        <v>631</v>
      </c>
      <c r="C194" s="311" t="s">
        <v>632</v>
      </c>
      <c r="D194" s="327">
        <v>402.82100000000003</v>
      </c>
    </row>
    <row r="195" spans="1:4" x14ac:dyDescent="0.25">
      <c r="A195" s="324" t="s">
        <v>633</v>
      </c>
      <c r="B195" s="312" t="s">
        <v>634</v>
      </c>
      <c r="C195" s="311" t="s">
        <v>257</v>
      </c>
      <c r="D195" s="327">
        <v>7.5019999999999998</v>
      </c>
    </row>
    <row r="196" spans="1:4" x14ac:dyDescent="0.25">
      <c r="A196" s="324" t="s">
        <v>635</v>
      </c>
      <c r="B196" s="312" t="s">
        <v>636</v>
      </c>
      <c r="C196" s="311" t="s">
        <v>198</v>
      </c>
      <c r="D196" s="327">
        <v>108.349</v>
      </c>
    </row>
    <row r="197" spans="1:4" x14ac:dyDescent="0.25">
      <c r="A197" s="324" t="s">
        <v>637</v>
      </c>
      <c r="B197" s="312" t="s">
        <v>638</v>
      </c>
      <c r="C197" s="311" t="s">
        <v>198</v>
      </c>
      <c r="D197" s="327">
        <v>94.253</v>
      </c>
    </row>
    <row r="198" spans="1:4" x14ac:dyDescent="0.25">
      <c r="A198" s="324" t="s">
        <v>639</v>
      </c>
      <c r="B198" s="312" t="s">
        <v>640</v>
      </c>
      <c r="C198" s="311" t="s">
        <v>198</v>
      </c>
      <c r="D198" s="327">
        <v>519.72299999999996</v>
      </c>
    </row>
    <row r="199" spans="1:4" x14ac:dyDescent="0.25">
      <c r="A199" s="324" t="s">
        <v>641</v>
      </c>
      <c r="B199" s="312" t="s">
        <v>2542</v>
      </c>
      <c r="C199" s="311" t="s">
        <v>199</v>
      </c>
      <c r="D199" s="327">
        <v>79.905000000000001</v>
      </c>
    </row>
    <row r="200" spans="1:4" x14ac:dyDescent="0.25">
      <c r="A200" s="324" t="s">
        <v>643</v>
      </c>
      <c r="B200" s="312" t="s">
        <v>644</v>
      </c>
      <c r="C200" s="311" t="s">
        <v>209</v>
      </c>
      <c r="D200" s="327">
        <v>12.195</v>
      </c>
    </row>
    <row r="201" spans="1:4" x14ac:dyDescent="0.25">
      <c r="A201" s="324" t="s">
        <v>645</v>
      </c>
      <c r="B201" s="312" t="s">
        <v>646</v>
      </c>
      <c r="C201" s="311" t="s">
        <v>198</v>
      </c>
      <c r="D201" s="327">
        <v>0.26600000000000001</v>
      </c>
    </row>
    <row r="202" spans="1:4" x14ac:dyDescent="0.25">
      <c r="A202" s="324" t="s">
        <v>647</v>
      </c>
      <c r="B202" s="312" t="s">
        <v>648</v>
      </c>
      <c r="C202" s="311" t="s">
        <v>371</v>
      </c>
      <c r="D202" s="327">
        <v>41.997</v>
      </c>
    </row>
    <row r="203" spans="1:4" x14ac:dyDescent="0.25">
      <c r="A203" s="324" t="s">
        <v>649</v>
      </c>
      <c r="B203" s="312" t="s">
        <v>650</v>
      </c>
      <c r="C203" s="311" t="s">
        <v>198</v>
      </c>
      <c r="D203" s="327">
        <v>2.8929999999999998</v>
      </c>
    </row>
    <row r="204" spans="1:4" x14ac:dyDescent="0.25">
      <c r="A204" s="324" t="s">
        <v>651</v>
      </c>
      <c r="B204" s="312" t="s">
        <v>652</v>
      </c>
      <c r="C204" s="311" t="s">
        <v>653</v>
      </c>
      <c r="D204" s="327">
        <v>0.79200000000000004</v>
      </c>
    </row>
    <row r="205" spans="1:4" x14ac:dyDescent="0.25">
      <c r="A205" s="324" t="s">
        <v>654</v>
      </c>
      <c r="B205" s="312" t="s">
        <v>655</v>
      </c>
      <c r="C205" s="311" t="s">
        <v>656</v>
      </c>
      <c r="D205" s="327">
        <v>8.3559999999999999</v>
      </c>
    </row>
    <row r="206" spans="1:4" x14ac:dyDescent="0.25">
      <c r="A206" s="324" t="s">
        <v>657</v>
      </c>
      <c r="B206" s="312" t="s">
        <v>658</v>
      </c>
      <c r="C206" s="311" t="s">
        <v>659</v>
      </c>
      <c r="D206" s="327">
        <v>0.69499999999999995</v>
      </c>
    </row>
    <row r="207" spans="1:4" x14ac:dyDescent="0.25">
      <c r="A207" s="324" t="s">
        <v>660</v>
      </c>
      <c r="B207" s="312" t="s">
        <v>661</v>
      </c>
      <c r="C207" s="311" t="s">
        <v>198</v>
      </c>
      <c r="D207" s="327">
        <v>48.165999999999997</v>
      </c>
    </row>
    <row r="208" spans="1:4" x14ac:dyDescent="0.25">
      <c r="A208" s="324" t="s">
        <v>662</v>
      </c>
      <c r="B208" s="312" t="s">
        <v>663</v>
      </c>
      <c r="C208" s="311" t="s">
        <v>273</v>
      </c>
      <c r="D208" s="327">
        <v>29.445</v>
      </c>
    </row>
    <row r="209" spans="1:4" x14ac:dyDescent="0.25">
      <c r="A209" s="324" t="s">
        <v>664</v>
      </c>
      <c r="B209" s="312" t="s">
        <v>665</v>
      </c>
      <c r="C209" s="311" t="s">
        <v>311</v>
      </c>
      <c r="D209" s="327">
        <v>2.891</v>
      </c>
    </row>
    <row r="210" spans="1:4" x14ac:dyDescent="0.25">
      <c r="A210" s="324" t="s">
        <v>668</v>
      </c>
      <c r="B210" s="312" t="s">
        <v>2543</v>
      </c>
      <c r="C210" s="311" t="s">
        <v>670</v>
      </c>
      <c r="D210" s="327">
        <v>928.94600000000003</v>
      </c>
    </row>
    <row r="211" spans="1:4" x14ac:dyDescent="0.25">
      <c r="A211" s="324" t="s">
        <v>671</v>
      </c>
      <c r="B211" s="312" t="s">
        <v>672</v>
      </c>
      <c r="C211" s="311" t="s">
        <v>199</v>
      </c>
      <c r="D211" s="327">
        <v>0.20200000000000001</v>
      </c>
    </row>
    <row r="212" spans="1:4" x14ac:dyDescent="0.25">
      <c r="A212" s="324" t="s">
        <v>673</v>
      </c>
      <c r="B212" s="312" t="s">
        <v>674</v>
      </c>
      <c r="C212" s="311" t="s">
        <v>405</v>
      </c>
      <c r="D212" s="327">
        <v>17.437000000000001</v>
      </c>
    </row>
    <row r="213" spans="1:4" x14ac:dyDescent="0.25">
      <c r="A213" s="324" t="s">
        <v>675</v>
      </c>
      <c r="B213" s="312" t="s">
        <v>676</v>
      </c>
      <c r="C213" s="311" t="s">
        <v>295</v>
      </c>
      <c r="D213" s="327">
        <v>2.3929999999999998</v>
      </c>
    </row>
    <row r="214" spans="1:4" x14ac:dyDescent="0.25">
      <c r="A214" s="324" t="s">
        <v>677</v>
      </c>
      <c r="B214" s="312" t="s">
        <v>678</v>
      </c>
      <c r="C214" s="311" t="s">
        <v>458</v>
      </c>
      <c r="D214" s="327">
        <v>24.381</v>
      </c>
    </row>
    <row r="215" spans="1:4" x14ac:dyDescent="0.25">
      <c r="A215" s="324" t="s">
        <v>679</v>
      </c>
      <c r="B215" s="312" t="s">
        <v>680</v>
      </c>
      <c r="C215" s="311" t="s">
        <v>199</v>
      </c>
      <c r="D215" s="327">
        <v>1.9E-2</v>
      </c>
    </row>
    <row r="216" spans="1:4" x14ac:dyDescent="0.25">
      <c r="A216" s="324" t="s">
        <v>681</v>
      </c>
      <c r="B216" s="312" t="s">
        <v>682</v>
      </c>
      <c r="C216" s="311" t="s">
        <v>683</v>
      </c>
      <c r="D216" s="327">
        <v>11.207000000000001</v>
      </c>
    </row>
    <row r="217" spans="1:4" x14ac:dyDescent="0.25">
      <c r="A217" s="324" t="s">
        <v>684</v>
      </c>
      <c r="B217" s="312" t="s">
        <v>685</v>
      </c>
      <c r="C217" s="311" t="s">
        <v>442</v>
      </c>
      <c r="D217" s="327">
        <v>23.71</v>
      </c>
    </row>
    <row r="218" spans="1:4" x14ac:dyDescent="0.25">
      <c r="A218" s="324" t="s">
        <v>686</v>
      </c>
      <c r="B218" s="312" t="s">
        <v>687</v>
      </c>
      <c r="C218" s="311" t="s">
        <v>688</v>
      </c>
      <c r="D218" s="327">
        <v>0.75600000000000001</v>
      </c>
    </row>
    <row r="219" spans="1:4" x14ac:dyDescent="0.25">
      <c r="A219" s="324" t="s">
        <v>689</v>
      </c>
      <c r="B219" s="312" t="s">
        <v>690</v>
      </c>
      <c r="C219" s="311" t="s">
        <v>522</v>
      </c>
      <c r="D219" s="327">
        <v>1.607</v>
      </c>
    </row>
    <row r="220" spans="1:4" x14ac:dyDescent="0.25">
      <c r="A220" s="324" t="s">
        <v>691</v>
      </c>
      <c r="B220" s="312" t="s">
        <v>2544</v>
      </c>
      <c r="C220" s="311" t="s">
        <v>257</v>
      </c>
      <c r="D220" s="327">
        <v>4.5259999999999998</v>
      </c>
    </row>
    <row r="221" spans="1:4" x14ac:dyDescent="0.25">
      <c r="A221" s="324" t="s">
        <v>695</v>
      </c>
      <c r="B221" s="312" t="s">
        <v>696</v>
      </c>
      <c r="C221" s="311" t="s">
        <v>257</v>
      </c>
      <c r="D221" s="327">
        <v>1.3140000000000001</v>
      </c>
    </row>
    <row r="222" spans="1:4" x14ac:dyDescent="0.25">
      <c r="A222" s="324" t="s">
        <v>697</v>
      </c>
      <c r="B222" s="312" t="s">
        <v>698</v>
      </c>
      <c r="C222" s="311" t="s">
        <v>699</v>
      </c>
      <c r="D222" s="327">
        <v>4.9189999999999996</v>
      </c>
    </row>
    <row r="223" spans="1:4" x14ac:dyDescent="0.25">
      <c r="A223" s="324" t="s">
        <v>700</v>
      </c>
      <c r="B223" s="312" t="s">
        <v>701</v>
      </c>
      <c r="C223" s="311" t="s">
        <v>198</v>
      </c>
      <c r="D223" s="327">
        <v>0.96899999999999997</v>
      </c>
    </row>
    <row r="224" spans="1:4" x14ac:dyDescent="0.25">
      <c r="A224" s="324" t="s">
        <v>702</v>
      </c>
      <c r="B224" s="312" t="s">
        <v>703</v>
      </c>
      <c r="C224" s="311" t="s">
        <v>198</v>
      </c>
      <c r="D224" s="327">
        <v>0.13100000000000001</v>
      </c>
    </row>
    <row r="225" spans="1:4" x14ac:dyDescent="0.25">
      <c r="A225" s="324" t="s">
        <v>706</v>
      </c>
      <c r="B225" s="312" t="s">
        <v>707</v>
      </c>
      <c r="C225" s="311" t="s">
        <v>199</v>
      </c>
      <c r="D225" s="327">
        <v>1.2190000000000001</v>
      </c>
    </row>
    <row r="226" spans="1:4" x14ac:dyDescent="0.25">
      <c r="A226" s="325" t="s">
        <v>708</v>
      </c>
      <c r="B226" s="312" t="s">
        <v>2403</v>
      </c>
      <c r="C226" s="314" t="s">
        <v>2545</v>
      </c>
      <c r="D226" s="327">
        <v>8.5679999999999996</v>
      </c>
    </row>
    <row r="227" spans="1:4" x14ac:dyDescent="0.25">
      <c r="A227" s="324" t="s">
        <v>710</v>
      </c>
      <c r="B227" s="312" t="s">
        <v>711</v>
      </c>
      <c r="C227" s="311" t="s">
        <v>452</v>
      </c>
      <c r="D227" s="327">
        <v>7.1779999999999999</v>
      </c>
    </row>
    <row r="228" spans="1:4" x14ac:dyDescent="0.25">
      <c r="A228" s="324" t="s">
        <v>712</v>
      </c>
      <c r="B228" s="312" t="s">
        <v>713</v>
      </c>
      <c r="C228" s="311" t="s">
        <v>257</v>
      </c>
      <c r="D228" s="327">
        <v>9.1790000000000003</v>
      </c>
    </row>
    <row r="229" spans="1:4" x14ac:dyDescent="0.25">
      <c r="A229" s="324" t="s">
        <v>714</v>
      </c>
      <c r="B229" s="312" t="s">
        <v>715</v>
      </c>
      <c r="C229" s="311" t="s">
        <v>199</v>
      </c>
      <c r="D229" s="327">
        <v>2.371</v>
      </c>
    </row>
    <row r="230" spans="1:4" x14ac:dyDescent="0.25">
      <c r="A230" s="324" t="s">
        <v>716</v>
      </c>
      <c r="B230" s="312" t="s">
        <v>717</v>
      </c>
      <c r="C230" s="311" t="s">
        <v>198</v>
      </c>
      <c r="D230" s="327">
        <v>27.992000000000001</v>
      </c>
    </row>
    <row r="231" spans="1:4" x14ac:dyDescent="0.25">
      <c r="A231" s="324" t="s">
        <v>718</v>
      </c>
      <c r="B231" s="312" t="s">
        <v>719</v>
      </c>
      <c r="C231" s="311" t="s">
        <v>198</v>
      </c>
      <c r="D231" s="327">
        <v>3.1829999999999998</v>
      </c>
    </row>
    <row r="232" spans="1:4" x14ac:dyDescent="0.25">
      <c r="A232" s="324" t="s">
        <v>720</v>
      </c>
      <c r="B232" s="312" t="s">
        <v>721</v>
      </c>
      <c r="C232" s="311" t="s">
        <v>198</v>
      </c>
      <c r="D232" s="327">
        <v>17.015000000000001</v>
      </c>
    </row>
    <row r="233" spans="1:4" x14ac:dyDescent="0.25">
      <c r="A233" s="324" t="s">
        <v>724</v>
      </c>
      <c r="B233" s="312" t="s">
        <v>725</v>
      </c>
      <c r="C233" s="311" t="s">
        <v>198</v>
      </c>
      <c r="D233" s="327">
        <v>158.709</v>
      </c>
    </row>
    <row r="234" spans="1:4" x14ac:dyDescent="0.25">
      <c r="A234" s="324" t="s">
        <v>726</v>
      </c>
      <c r="B234" s="312" t="s">
        <v>727</v>
      </c>
      <c r="C234" s="311" t="s">
        <v>728</v>
      </c>
      <c r="D234" s="327">
        <v>1.2270000000000001</v>
      </c>
    </row>
    <row r="235" spans="1:4" x14ac:dyDescent="0.25">
      <c r="A235" s="324" t="s">
        <v>2404</v>
      </c>
      <c r="B235" s="312" t="s">
        <v>2405</v>
      </c>
      <c r="C235" s="311" t="s">
        <v>200</v>
      </c>
      <c r="D235" s="327">
        <v>439.05599999999998</v>
      </c>
    </row>
    <row r="236" spans="1:4" x14ac:dyDescent="0.25">
      <c r="A236" s="324" t="s">
        <v>729</v>
      </c>
      <c r="B236" s="312" t="s">
        <v>730</v>
      </c>
      <c r="C236" s="311" t="s">
        <v>200</v>
      </c>
      <c r="D236" s="327">
        <v>29.969000000000001</v>
      </c>
    </row>
    <row r="237" spans="1:4" x14ac:dyDescent="0.25">
      <c r="A237" s="324" t="s">
        <v>731</v>
      </c>
      <c r="B237" s="312" t="s">
        <v>732</v>
      </c>
      <c r="C237" s="311" t="s">
        <v>198</v>
      </c>
      <c r="D237" s="327">
        <v>2.9159999999999999</v>
      </c>
    </row>
    <row r="238" spans="1:4" x14ac:dyDescent="0.25">
      <c r="A238" s="324" t="s">
        <v>733</v>
      </c>
      <c r="B238" s="312" t="s">
        <v>734</v>
      </c>
      <c r="C238" s="311" t="s">
        <v>735</v>
      </c>
      <c r="D238" s="327">
        <v>5.702</v>
      </c>
    </row>
    <row r="239" spans="1:4" x14ac:dyDescent="0.25">
      <c r="A239" s="324" t="s">
        <v>736</v>
      </c>
      <c r="B239" s="312" t="s">
        <v>737</v>
      </c>
      <c r="C239" s="311" t="s">
        <v>738</v>
      </c>
      <c r="D239" s="327">
        <v>22.818000000000001</v>
      </c>
    </row>
    <row r="240" spans="1:4" x14ac:dyDescent="0.25">
      <c r="A240" s="324" t="s">
        <v>739</v>
      </c>
      <c r="B240" s="312" t="s">
        <v>740</v>
      </c>
      <c r="C240" s="311" t="s">
        <v>198</v>
      </c>
      <c r="D240" s="327">
        <v>9.8000000000000004E-2</v>
      </c>
    </row>
    <row r="241" spans="1:4" x14ac:dyDescent="0.25">
      <c r="A241" s="325" t="s">
        <v>741</v>
      </c>
      <c r="B241" s="312" t="s">
        <v>742</v>
      </c>
      <c r="C241" s="314" t="s">
        <v>199</v>
      </c>
      <c r="D241" s="327">
        <v>25.616666666666671</v>
      </c>
    </row>
    <row r="242" spans="1:4" x14ac:dyDescent="0.25">
      <c r="A242" s="324" t="s">
        <v>2406</v>
      </c>
      <c r="B242" s="312" t="s">
        <v>2407</v>
      </c>
      <c r="C242" s="311" t="s">
        <v>198</v>
      </c>
      <c r="D242" s="327">
        <v>2.8420000000000001</v>
      </c>
    </row>
    <row r="243" spans="1:4" x14ac:dyDescent="0.25">
      <c r="A243" s="324" t="s">
        <v>743</v>
      </c>
      <c r="B243" s="312" t="s">
        <v>744</v>
      </c>
      <c r="C243" s="311" t="s">
        <v>325</v>
      </c>
      <c r="D243" s="327">
        <v>16.41</v>
      </c>
    </row>
    <row r="244" spans="1:4" x14ac:dyDescent="0.25">
      <c r="A244" s="324" t="s">
        <v>745</v>
      </c>
      <c r="B244" s="312" t="s">
        <v>746</v>
      </c>
      <c r="C244" s="311" t="s">
        <v>198</v>
      </c>
      <c r="D244" s="327">
        <v>8.6859999999999999</v>
      </c>
    </row>
    <row r="245" spans="1:4" x14ac:dyDescent="0.25">
      <c r="A245" s="324" t="s">
        <v>747</v>
      </c>
      <c r="B245" s="312" t="s">
        <v>2546</v>
      </c>
      <c r="C245" s="311" t="s">
        <v>749</v>
      </c>
      <c r="D245" s="327">
        <v>11.574999999999999</v>
      </c>
    </row>
    <row r="246" spans="1:4" x14ac:dyDescent="0.25">
      <c r="A246" s="324" t="s">
        <v>750</v>
      </c>
      <c r="B246" s="312" t="s">
        <v>751</v>
      </c>
      <c r="C246" s="311" t="s">
        <v>728</v>
      </c>
      <c r="D246" s="327">
        <v>21.469000000000001</v>
      </c>
    </row>
    <row r="247" spans="1:4" x14ac:dyDescent="0.25">
      <c r="A247" s="324" t="s">
        <v>752</v>
      </c>
      <c r="B247" s="312" t="s">
        <v>753</v>
      </c>
      <c r="C247" s="311" t="s">
        <v>452</v>
      </c>
      <c r="D247" s="327">
        <v>0.95</v>
      </c>
    </row>
    <row r="248" spans="1:4" x14ac:dyDescent="0.25">
      <c r="A248" s="324" t="s">
        <v>754</v>
      </c>
      <c r="B248" s="312" t="s">
        <v>755</v>
      </c>
      <c r="C248" s="311" t="s">
        <v>756</v>
      </c>
      <c r="D248" s="327">
        <v>1036.153</v>
      </c>
    </row>
    <row r="249" spans="1:4" x14ac:dyDescent="0.25">
      <c r="A249" s="324" t="s">
        <v>757</v>
      </c>
      <c r="B249" s="312" t="s">
        <v>758</v>
      </c>
      <c r="C249" s="311" t="s">
        <v>759</v>
      </c>
      <c r="D249" s="327">
        <v>281.39999999999998</v>
      </c>
    </row>
    <row r="250" spans="1:4" x14ac:dyDescent="0.25">
      <c r="A250" s="324" t="s">
        <v>760</v>
      </c>
      <c r="B250" s="312" t="s">
        <v>761</v>
      </c>
      <c r="C250" s="311" t="s">
        <v>762</v>
      </c>
      <c r="D250" s="327">
        <v>3828.0949999999998</v>
      </c>
    </row>
    <row r="251" spans="1:4" x14ac:dyDescent="0.25">
      <c r="A251" s="324" t="s">
        <v>763</v>
      </c>
      <c r="B251" s="312" t="s">
        <v>764</v>
      </c>
      <c r="C251" s="311" t="s">
        <v>198</v>
      </c>
      <c r="D251" s="327">
        <v>1363.3989999999999</v>
      </c>
    </row>
    <row r="252" spans="1:4" x14ac:dyDescent="0.25">
      <c r="A252" s="324" t="s">
        <v>765</v>
      </c>
      <c r="B252" s="312" t="s">
        <v>766</v>
      </c>
      <c r="C252" s="311" t="s">
        <v>767</v>
      </c>
      <c r="D252" s="327">
        <v>22.523</v>
      </c>
    </row>
    <row r="253" spans="1:4" x14ac:dyDescent="0.25">
      <c r="A253" s="324" t="s">
        <v>768</v>
      </c>
      <c r="B253" s="312" t="s">
        <v>769</v>
      </c>
      <c r="C253" s="311" t="s">
        <v>209</v>
      </c>
      <c r="D253" s="327">
        <v>41.673999999999999</v>
      </c>
    </row>
    <row r="254" spans="1:4" x14ac:dyDescent="0.25">
      <c r="A254" s="324" t="s">
        <v>770</v>
      </c>
      <c r="B254" s="312" t="s">
        <v>771</v>
      </c>
      <c r="C254" s="311" t="s">
        <v>767</v>
      </c>
      <c r="D254" s="327">
        <v>0.94599999999999995</v>
      </c>
    </row>
    <row r="255" spans="1:4" x14ac:dyDescent="0.25">
      <c r="A255" s="324" t="s">
        <v>772</v>
      </c>
      <c r="B255" s="312" t="s">
        <v>773</v>
      </c>
      <c r="C255" s="311" t="s">
        <v>774</v>
      </c>
      <c r="D255" s="327">
        <v>2.593</v>
      </c>
    </row>
    <row r="256" spans="1:4" x14ac:dyDescent="0.25">
      <c r="A256" s="324" t="s">
        <v>775</v>
      </c>
      <c r="B256" s="312" t="s">
        <v>776</v>
      </c>
      <c r="C256" s="311" t="s">
        <v>683</v>
      </c>
      <c r="D256" s="327">
        <v>113.738</v>
      </c>
    </row>
    <row r="257" spans="1:4" x14ac:dyDescent="0.25">
      <c r="A257" s="324" t="s">
        <v>777</v>
      </c>
      <c r="B257" s="312" t="s">
        <v>778</v>
      </c>
      <c r="C257" s="311" t="s">
        <v>209</v>
      </c>
      <c r="D257" s="327">
        <v>1.639</v>
      </c>
    </row>
    <row r="258" spans="1:4" x14ac:dyDescent="0.25">
      <c r="A258" s="324" t="s">
        <v>779</v>
      </c>
      <c r="B258" s="312" t="s">
        <v>780</v>
      </c>
      <c r="C258" s="311" t="s">
        <v>781</v>
      </c>
      <c r="D258" s="327">
        <v>29.196000000000002</v>
      </c>
    </row>
    <row r="259" spans="1:4" x14ac:dyDescent="0.25">
      <c r="A259" s="325" t="s">
        <v>782</v>
      </c>
      <c r="B259" s="312" t="s">
        <v>783</v>
      </c>
      <c r="C259" s="311" t="s">
        <v>198</v>
      </c>
      <c r="D259" s="327">
        <v>307.875</v>
      </c>
    </row>
    <row r="260" spans="1:4" x14ac:dyDescent="0.25">
      <c r="A260" s="324" t="s">
        <v>784</v>
      </c>
      <c r="B260" s="312" t="s">
        <v>785</v>
      </c>
      <c r="C260" s="311" t="s">
        <v>452</v>
      </c>
      <c r="D260" s="327">
        <v>13.516</v>
      </c>
    </row>
    <row r="261" spans="1:4" x14ac:dyDescent="0.25">
      <c r="A261" s="324" t="s">
        <v>786</v>
      </c>
      <c r="B261" s="312" t="s">
        <v>2547</v>
      </c>
      <c r="C261" s="311" t="s">
        <v>209</v>
      </c>
      <c r="D261" s="327">
        <v>0.97</v>
      </c>
    </row>
    <row r="262" spans="1:4" x14ac:dyDescent="0.25">
      <c r="A262" s="324" t="s">
        <v>788</v>
      </c>
      <c r="B262" s="312" t="s">
        <v>2548</v>
      </c>
      <c r="C262" s="311" t="s">
        <v>553</v>
      </c>
      <c r="D262" s="327">
        <v>22.263000000000002</v>
      </c>
    </row>
    <row r="263" spans="1:4" x14ac:dyDescent="0.25">
      <c r="A263" s="324" t="s">
        <v>790</v>
      </c>
      <c r="B263" s="312" t="s">
        <v>791</v>
      </c>
      <c r="C263" s="311" t="s">
        <v>405</v>
      </c>
      <c r="D263" s="327">
        <v>46.140999999999998</v>
      </c>
    </row>
    <row r="264" spans="1:4" x14ac:dyDescent="0.25">
      <c r="A264" s="324" t="s">
        <v>792</v>
      </c>
      <c r="B264" s="312" t="s">
        <v>793</v>
      </c>
      <c r="C264" s="311" t="s">
        <v>295</v>
      </c>
      <c r="D264" s="327">
        <v>1.8080000000000001</v>
      </c>
    </row>
    <row r="265" spans="1:4" x14ac:dyDescent="0.25">
      <c r="A265" s="324" t="s">
        <v>794</v>
      </c>
      <c r="B265" s="312" t="s">
        <v>795</v>
      </c>
      <c r="C265" s="311" t="s">
        <v>199</v>
      </c>
      <c r="D265" s="327">
        <v>0.124</v>
      </c>
    </row>
    <row r="266" spans="1:4" x14ac:dyDescent="0.25">
      <c r="A266" s="324" t="s">
        <v>796</v>
      </c>
      <c r="B266" s="312" t="s">
        <v>2549</v>
      </c>
      <c r="C266" s="311" t="s">
        <v>199</v>
      </c>
      <c r="D266" s="327">
        <v>1.1659999999999999</v>
      </c>
    </row>
    <row r="267" spans="1:4" x14ac:dyDescent="0.25">
      <c r="A267" s="324" t="s">
        <v>798</v>
      </c>
      <c r="B267" s="312" t="s">
        <v>799</v>
      </c>
      <c r="C267" s="311" t="s">
        <v>371</v>
      </c>
      <c r="D267" s="327">
        <v>15.132</v>
      </c>
    </row>
    <row r="268" spans="1:4" x14ac:dyDescent="0.25">
      <c r="A268" s="324" t="s">
        <v>800</v>
      </c>
      <c r="B268" s="312" t="s">
        <v>801</v>
      </c>
      <c r="C268" s="311" t="s">
        <v>200</v>
      </c>
      <c r="D268" s="327">
        <v>159</v>
      </c>
    </row>
    <row r="269" spans="1:4" x14ac:dyDescent="0.25">
      <c r="A269" s="324" t="s">
        <v>802</v>
      </c>
      <c r="B269" s="312" t="s">
        <v>803</v>
      </c>
      <c r="C269" s="311" t="s">
        <v>199</v>
      </c>
      <c r="D269" s="327">
        <v>0.7</v>
      </c>
    </row>
    <row r="270" spans="1:4" x14ac:dyDescent="0.25">
      <c r="A270" s="324" t="s">
        <v>804</v>
      </c>
      <c r="B270" s="312" t="s">
        <v>805</v>
      </c>
      <c r="C270" s="311" t="s">
        <v>284</v>
      </c>
      <c r="D270" s="327">
        <v>332.13200000000001</v>
      </c>
    </row>
    <row r="271" spans="1:4" x14ac:dyDescent="0.25">
      <c r="A271" s="324" t="s">
        <v>806</v>
      </c>
      <c r="B271" s="312" t="s">
        <v>807</v>
      </c>
      <c r="C271" s="311" t="s">
        <v>808</v>
      </c>
      <c r="D271" s="327">
        <v>387.65499999999997</v>
      </c>
    </row>
    <row r="272" spans="1:4" x14ac:dyDescent="0.25">
      <c r="A272" s="324" t="s">
        <v>809</v>
      </c>
      <c r="B272" s="312" t="s">
        <v>810</v>
      </c>
      <c r="C272" s="311" t="s">
        <v>553</v>
      </c>
      <c r="D272" s="327">
        <v>1.0620000000000001</v>
      </c>
    </row>
    <row r="273" spans="1:4" x14ac:dyDescent="0.25">
      <c r="A273" s="324" t="s">
        <v>811</v>
      </c>
      <c r="B273" s="312" t="s">
        <v>812</v>
      </c>
      <c r="C273" s="311" t="s">
        <v>396</v>
      </c>
      <c r="D273" s="327">
        <v>231.87299999999999</v>
      </c>
    </row>
    <row r="274" spans="1:4" x14ac:dyDescent="0.25">
      <c r="A274" s="324" t="s">
        <v>813</v>
      </c>
      <c r="B274" s="312" t="s">
        <v>814</v>
      </c>
      <c r="C274" s="311" t="s">
        <v>273</v>
      </c>
      <c r="D274" s="327">
        <v>54.043999999999997</v>
      </c>
    </row>
    <row r="275" spans="1:4" x14ac:dyDescent="0.25">
      <c r="A275" s="324" t="s">
        <v>817</v>
      </c>
      <c r="B275" s="312" t="s">
        <v>818</v>
      </c>
      <c r="C275" s="311" t="s">
        <v>819</v>
      </c>
      <c r="D275" s="327">
        <v>24.391999999999999</v>
      </c>
    </row>
    <row r="276" spans="1:4" x14ac:dyDescent="0.25">
      <c r="A276" s="324" t="s">
        <v>820</v>
      </c>
      <c r="B276" s="312" t="s">
        <v>821</v>
      </c>
      <c r="C276" s="311" t="s">
        <v>822</v>
      </c>
      <c r="D276" s="327">
        <v>83.734999999999999</v>
      </c>
    </row>
    <row r="277" spans="1:4" x14ac:dyDescent="0.25">
      <c r="A277" s="324" t="s">
        <v>823</v>
      </c>
      <c r="B277" s="312" t="s">
        <v>824</v>
      </c>
      <c r="C277" s="311" t="s">
        <v>825</v>
      </c>
      <c r="D277" s="327">
        <v>4.7309999999999999</v>
      </c>
    </row>
    <row r="278" spans="1:4" x14ac:dyDescent="0.25">
      <c r="A278" s="324" t="s">
        <v>826</v>
      </c>
      <c r="B278" s="312" t="s">
        <v>2550</v>
      </c>
      <c r="C278" s="311" t="s">
        <v>825</v>
      </c>
      <c r="D278" s="327">
        <v>20.22</v>
      </c>
    </row>
    <row r="279" spans="1:4" x14ac:dyDescent="0.25">
      <c r="A279" s="324" t="s">
        <v>828</v>
      </c>
      <c r="B279" s="312" t="s">
        <v>829</v>
      </c>
      <c r="C279" s="311" t="s">
        <v>396</v>
      </c>
      <c r="D279" s="327">
        <v>7.282</v>
      </c>
    </row>
    <row r="280" spans="1:4" x14ac:dyDescent="0.25">
      <c r="A280" s="324" t="s">
        <v>830</v>
      </c>
      <c r="B280" s="312" t="s">
        <v>2551</v>
      </c>
      <c r="C280" s="311" t="s">
        <v>198</v>
      </c>
      <c r="D280" s="327">
        <v>7.6999999999999999E-2</v>
      </c>
    </row>
    <row r="281" spans="1:4" x14ac:dyDescent="0.25">
      <c r="A281" s="326" t="s">
        <v>832</v>
      </c>
      <c r="B281" s="312" t="s">
        <v>833</v>
      </c>
      <c r="C281" s="311" t="s">
        <v>834</v>
      </c>
      <c r="D281" s="327">
        <v>59.112000000000002</v>
      </c>
    </row>
    <row r="282" spans="1:4" x14ac:dyDescent="0.25">
      <c r="A282" s="324" t="s">
        <v>835</v>
      </c>
      <c r="B282" s="312" t="s">
        <v>836</v>
      </c>
      <c r="C282" s="311" t="s">
        <v>381</v>
      </c>
      <c r="D282" s="327">
        <v>43.222999999999999</v>
      </c>
    </row>
    <row r="283" spans="1:4" x14ac:dyDescent="0.25">
      <c r="A283" s="324" t="s">
        <v>837</v>
      </c>
      <c r="B283" s="312" t="s">
        <v>838</v>
      </c>
      <c r="C283" s="311" t="s">
        <v>839</v>
      </c>
      <c r="D283" s="327">
        <v>92.084999999999994</v>
      </c>
    </row>
    <row r="284" spans="1:4" x14ac:dyDescent="0.25">
      <c r="A284" s="324" t="s">
        <v>840</v>
      </c>
      <c r="B284" s="312" t="s">
        <v>2552</v>
      </c>
      <c r="C284" s="311" t="s">
        <v>491</v>
      </c>
      <c r="D284" s="327">
        <v>0.29099999999999998</v>
      </c>
    </row>
    <row r="285" spans="1:4" x14ac:dyDescent="0.25">
      <c r="A285" s="324" t="s">
        <v>842</v>
      </c>
      <c r="B285" s="312" t="s">
        <v>843</v>
      </c>
      <c r="C285" s="311" t="s">
        <v>325</v>
      </c>
      <c r="D285" s="327">
        <v>34.277999999999999</v>
      </c>
    </row>
    <row r="286" spans="1:4" x14ac:dyDescent="0.25">
      <c r="A286" s="324" t="s">
        <v>2408</v>
      </c>
      <c r="B286" s="312" t="s">
        <v>2409</v>
      </c>
      <c r="C286" s="311" t="s">
        <v>452</v>
      </c>
      <c r="D286" s="327">
        <v>34.78125</v>
      </c>
    </row>
    <row r="287" spans="1:4" x14ac:dyDescent="0.25">
      <c r="A287" s="324" t="s">
        <v>846</v>
      </c>
      <c r="B287" s="312" t="s">
        <v>847</v>
      </c>
      <c r="C287" s="311" t="s">
        <v>848</v>
      </c>
      <c r="D287" s="327">
        <v>2.5659999999999998</v>
      </c>
    </row>
    <row r="288" spans="1:4" x14ac:dyDescent="0.25">
      <c r="A288" s="324" t="s">
        <v>849</v>
      </c>
      <c r="B288" s="312" t="s">
        <v>850</v>
      </c>
      <c r="C288" s="311" t="s">
        <v>491</v>
      </c>
      <c r="D288" s="327">
        <v>2.8980000000000001</v>
      </c>
    </row>
    <row r="289" spans="1:4" x14ac:dyDescent="0.25">
      <c r="A289" s="324" t="s">
        <v>851</v>
      </c>
      <c r="B289" s="312" t="s">
        <v>850</v>
      </c>
      <c r="C289" s="311" t="s">
        <v>852</v>
      </c>
      <c r="D289" s="327">
        <v>4.1050000000000004</v>
      </c>
    </row>
    <row r="290" spans="1:4" x14ac:dyDescent="0.25">
      <c r="A290" s="324" t="s">
        <v>853</v>
      </c>
      <c r="B290" s="312" t="s">
        <v>854</v>
      </c>
      <c r="C290" s="311" t="s">
        <v>198</v>
      </c>
      <c r="D290" s="327">
        <v>74.691999999999993</v>
      </c>
    </row>
    <row r="291" spans="1:4" x14ac:dyDescent="0.25">
      <c r="A291" s="324" t="s">
        <v>855</v>
      </c>
      <c r="B291" s="312" t="s">
        <v>856</v>
      </c>
      <c r="C291" s="311" t="s">
        <v>405</v>
      </c>
      <c r="D291" s="327">
        <v>11.851000000000001</v>
      </c>
    </row>
    <row r="292" spans="1:4" x14ac:dyDescent="0.25">
      <c r="A292" s="324" t="s">
        <v>857</v>
      </c>
      <c r="B292" s="312" t="s">
        <v>2410</v>
      </c>
      <c r="C292" s="311" t="s">
        <v>273</v>
      </c>
      <c r="D292" s="327">
        <v>0.49299999999999999</v>
      </c>
    </row>
    <row r="293" spans="1:4" x14ac:dyDescent="0.25">
      <c r="A293" s="325" t="s">
        <v>859</v>
      </c>
      <c r="B293" s="312" t="s">
        <v>2553</v>
      </c>
      <c r="C293" s="314" t="s">
        <v>371</v>
      </c>
      <c r="D293" s="327">
        <v>38.557000000000002</v>
      </c>
    </row>
    <row r="294" spans="1:4" x14ac:dyDescent="0.25">
      <c r="A294" s="324" t="s">
        <v>861</v>
      </c>
      <c r="B294" s="312" t="s">
        <v>862</v>
      </c>
      <c r="C294" s="311" t="s">
        <v>749</v>
      </c>
      <c r="D294" s="327">
        <v>123.973</v>
      </c>
    </row>
    <row r="295" spans="1:4" x14ac:dyDescent="0.25">
      <c r="A295" s="325" t="s">
        <v>863</v>
      </c>
      <c r="B295" s="312" t="s">
        <v>864</v>
      </c>
      <c r="C295" s="314" t="s">
        <v>198</v>
      </c>
      <c r="D295" s="327">
        <v>1.214</v>
      </c>
    </row>
    <row r="296" spans="1:4" x14ac:dyDescent="0.25">
      <c r="A296" s="324" t="s">
        <v>865</v>
      </c>
      <c r="B296" s="312" t="s">
        <v>866</v>
      </c>
      <c r="C296" s="311" t="s">
        <v>199</v>
      </c>
      <c r="D296" s="327">
        <v>5.2949999999999999</v>
      </c>
    </row>
    <row r="297" spans="1:4" x14ac:dyDescent="0.25">
      <c r="A297" s="324" t="s">
        <v>867</v>
      </c>
      <c r="B297" s="312" t="s">
        <v>868</v>
      </c>
      <c r="C297" s="311" t="s">
        <v>198</v>
      </c>
      <c r="D297" s="327">
        <v>93.927000000000007</v>
      </c>
    </row>
    <row r="298" spans="1:4" x14ac:dyDescent="0.25">
      <c r="A298" s="324" t="s">
        <v>869</v>
      </c>
      <c r="B298" s="312" t="s">
        <v>870</v>
      </c>
      <c r="C298" s="311" t="s">
        <v>198</v>
      </c>
      <c r="D298" s="327">
        <v>0.84699999999999998</v>
      </c>
    </row>
    <row r="299" spans="1:4" x14ac:dyDescent="0.25">
      <c r="A299" s="324" t="s">
        <v>871</v>
      </c>
      <c r="B299" s="312" t="s">
        <v>872</v>
      </c>
      <c r="C299" s="311" t="s">
        <v>198</v>
      </c>
      <c r="D299" s="327">
        <v>4.2999999999999997E-2</v>
      </c>
    </row>
    <row r="300" spans="1:4" x14ac:dyDescent="0.25">
      <c r="A300" s="324" t="s">
        <v>875</v>
      </c>
      <c r="B300" s="312" t="s">
        <v>876</v>
      </c>
      <c r="C300" s="311" t="s">
        <v>209</v>
      </c>
      <c r="D300" s="327">
        <v>19.204999999999998</v>
      </c>
    </row>
    <row r="301" spans="1:4" x14ac:dyDescent="0.25">
      <c r="A301" s="324" t="s">
        <v>877</v>
      </c>
      <c r="B301" s="312" t="s">
        <v>878</v>
      </c>
      <c r="C301" s="311" t="s">
        <v>879</v>
      </c>
      <c r="D301" s="327">
        <v>1431.9670000000001</v>
      </c>
    </row>
    <row r="302" spans="1:4" x14ac:dyDescent="0.25">
      <c r="A302" s="324" t="s">
        <v>880</v>
      </c>
      <c r="B302" s="312" t="s">
        <v>881</v>
      </c>
      <c r="C302" s="311" t="s">
        <v>198</v>
      </c>
      <c r="D302" s="327">
        <v>2.4289999999999998</v>
      </c>
    </row>
    <row r="303" spans="1:4" x14ac:dyDescent="0.25">
      <c r="A303" s="324" t="s">
        <v>884</v>
      </c>
      <c r="B303" s="312" t="s">
        <v>885</v>
      </c>
      <c r="C303" s="311" t="s">
        <v>442</v>
      </c>
      <c r="D303" s="327">
        <v>23.725999999999999</v>
      </c>
    </row>
    <row r="304" spans="1:4" x14ac:dyDescent="0.25">
      <c r="A304" s="324" t="s">
        <v>886</v>
      </c>
      <c r="B304" s="312" t="s">
        <v>887</v>
      </c>
      <c r="C304" s="311" t="s">
        <v>494</v>
      </c>
      <c r="D304" s="327">
        <v>2.681</v>
      </c>
    </row>
    <row r="305" spans="1:5" x14ac:dyDescent="0.25">
      <c r="A305" s="324" t="s">
        <v>888</v>
      </c>
      <c r="B305" s="312" t="s">
        <v>889</v>
      </c>
      <c r="C305" s="311" t="s">
        <v>198</v>
      </c>
      <c r="D305" s="327">
        <v>4.0039999999999996</v>
      </c>
    </row>
    <row r="306" spans="1:5" x14ac:dyDescent="0.25">
      <c r="A306" s="324" t="s">
        <v>890</v>
      </c>
      <c r="B306" s="312" t="s">
        <v>891</v>
      </c>
      <c r="C306" s="311" t="s">
        <v>198</v>
      </c>
      <c r="D306" s="327">
        <v>61.237000000000002</v>
      </c>
    </row>
    <row r="307" spans="1:5" x14ac:dyDescent="0.25">
      <c r="A307" s="324" t="s">
        <v>892</v>
      </c>
      <c r="B307" s="312" t="s">
        <v>2554</v>
      </c>
      <c r="C307" s="311" t="s">
        <v>198</v>
      </c>
      <c r="D307" s="327">
        <v>3.754</v>
      </c>
    </row>
    <row r="308" spans="1:5" x14ac:dyDescent="0.25">
      <c r="A308" s="324" t="s">
        <v>894</v>
      </c>
      <c r="B308" s="312" t="s">
        <v>2555</v>
      </c>
      <c r="C308" s="311" t="s">
        <v>199</v>
      </c>
      <c r="D308" s="327">
        <v>1.8089999999999999</v>
      </c>
    </row>
    <row r="309" spans="1:5" x14ac:dyDescent="0.25">
      <c r="A309" s="324" t="s">
        <v>2462</v>
      </c>
      <c r="B309" s="312" t="s">
        <v>2463</v>
      </c>
      <c r="C309" s="311" t="s">
        <v>200</v>
      </c>
      <c r="D309" s="327">
        <v>1.81419</v>
      </c>
    </row>
    <row r="310" spans="1:5" x14ac:dyDescent="0.25">
      <c r="A310" s="324" t="s">
        <v>898</v>
      </c>
      <c r="B310" s="312" t="s">
        <v>899</v>
      </c>
      <c r="C310" s="311" t="s">
        <v>670</v>
      </c>
      <c r="D310" s="327">
        <v>238.97200000000001</v>
      </c>
    </row>
    <row r="311" spans="1:5" x14ac:dyDescent="0.25">
      <c r="A311" s="324" t="s">
        <v>900</v>
      </c>
      <c r="B311" s="312" t="s">
        <v>2556</v>
      </c>
      <c r="C311" s="311" t="s">
        <v>198</v>
      </c>
      <c r="D311" s="327">
        <v>170.983</v>
      </c>
    </row>
    <row r="312" spans="1:5" x14ac:dyDescent="0.25">
      <c r="A312" s="324" t="s">
        <v>904</v>
      </c>
      <c r="B312" s="312" t="s">
        <v>905</v>
      </c>
      <c r="C312" s="311" t="s">
        <v>200</v>
      </c>
      <c r="D312" s="327">
        <v>6.6440000000000001</v>
      </c>
    </row>
    <row r="313" spans="1:5" x14ac:dyDescent="0.25">
      <c r="A313" s="324" t="s">
        <v>906</v>
      </c>
      <c r="B313" s="312" t="s">
        <v>907</v>
      </c>
      <c r="C313" s="311" t="s">
        <v>284</v>
      </c>
      <c r="D313" s="327">
        <v>3.8690000000000002</v>
      </c>
    </row>
    <row r="314" spans="1:5" x14ac:dyDescent="0.25">
      <c r="A314" s="325" t="s">
        <v>908</v>
      </c>
      <c r="B314" s="312" t="s">
        <v>909</v>
      </c>
      <c r="C314" s="314" t="s">
        <v>198</v>
      </c>
      <c r="D314" s="327">
        <v>17.027000000000001</v>
      </c>
    </row>
    <row r="315" spans="1:5" x14ac:dyDescent="0.25">
      <c r="A315" s="324" t="s">
        <v>910</v>
      </c>
      <c r="B315" s="312" t="s">
        <v>911</v>
      </c>
      <c r="C315" s="311" t="s">
        <v>360</v>
      </c>
      <c r="D315" s="327">
        <v>342.86099999999999</v>
      </c>
    </row>
    <row r="316" spans="1:5" x14ac:dyDescent="0.25">
      <c r="A316" s="324" t="s">
        <v>912</v>
      </c>
      <c r="B316" s="312" t="s">
        <v>913</v>
      </c>
      <c r="C316" s="311" t="s">
        <v>273</v>
      </c>
      <c r="D316" s="327">
        <v>10.975</v>
      </c>
    </row>
    <row r="317" spans="1:5" x14ac:dyDescent="0.25">
      <c r="A317" s="324" t="s">
        <v>914</v>
      </c>
      <c r="B317" s="312" t="s">
        <v>915</v>
      </c>
      <c r="C317" s="311" t="s">
        <v>553</v>
      </c>
      <c r="D317" s="327">
        <v>2.1869999999999998</v>
      </c>
    </row>
    <row r="318" spans="1:5" x14ac:dyDescent="0.25">
      <c r="A318" s="324" t="s">
        <v>916</v>
      </c>
      <c r="B318" s="312" t="s">
        <v>917</v>
      </c>
      <c r="C318" s="311" t="s">
        <v>257</v>
      </c>
      <c r="D318" s="327">
        <v>3.2160000000000002</v>
      </c>
    </row>
    <row r="319" spans="1:5" x14ac:dyDescent="0.25">
      <c r="A319" s="324" t="s">
        <v>918</v>
      </c>
      <c r="B319" s="312" t="s">
        <v>919</v>
      </c>
      <c r="C319" s="311" t="s">
        <v>257</v>
      </c>
      <c r="D319" s="327">
        <v>9.8640000000000008</v>
      </c>
    </row>
    <row r="320" spans="1:5" s="317" customFormat="1" x14ac:dyDescent="0.25">
      <c r="A320" s="324" t="s">
        <v>920</v>
      </c>
      <c r="B320" s="312" t="s">
        <v>921</v>
      </c>
      <c r="C320" s="311" t="s">
        <v>922</v>
      </c>
      <c r="D320" s="327">
        <v>2.6349999999999998</v>
      </c>
      <c r="E320" s="310"/>
    </row>
    <row r="321" spans="1:4" x14ac:dyDescent="0.25">
      <c r="A321" s="324" t="s">
        <v>923</v>
      </c>
      <c r="B321" s="312" t="s">
        <v>924</v>
      </c>
      <c r="C321" s="311" t="s">
        <v>198</v>
      </c>
      <c r="D321" s="327">
        <v>2.7389999999999999</v>
      </c>
    </row>
    <row r="322" spans="1:4" x14ac:dyDescent="0.25">
      <c r="A322" s="324" t="s">
        <v>925</v>
      </c>
      <c r="B322" s="312" t="s">
        <v>926</v>
      </c>
      <c r="C322" s="311" t="s">
        <v>199</v>
      </c>
      <c r="D322" s="327">
        <v>3.8820000000000001</v>
      </c>
    </row>
    <row r="323" spans="1:4" x14ac:dyDescent="0.25">
      <c r="A323" s="325" t="s">
        <v>927</v>
      </c>
      <c r="B323" s="312" t="s">
        <v>928</v>
      </c>
      <c r="C323" s="314" t="s">
        <v>354</v>
      </c>
      <c r="D323" s="327">
        <v>0.31614308052436252</v>
      </c>
    </row>
    <row r="324" spans="1:4" x14ac:dyDescent="0.25">
      <c r="A324" s="324" t="s">
        <v>929</v>
      </c>
      <c r="B324" s="312" t="s">
        <v>930</v>
      </c>
      <c r="C324" s="311" t="s">
        <v>931</v>
      </c>
      <c r="D324" s="327">
        <v>0.35699999999999998</v>
      </c>
    </row>
    <row r="325" spans="1:4" x14ac:dyDescent="0.25">
      <c r="A325" s="324" t="s">
        <v>932</v>
      </c>
      <c r="B325" s="312" t="s">
        <v>933</v>
      </c>
      <c r="C325" s="311" t="s">
        <v>284</v>
      </c>
      <c r="D325" s="327">
        <v>0.224</v>
      </c>
    </row>
    <row r="326" spans="1:4" x14ac:dyDescent="0.25">
      <c r="A326" s="324" t="s">
        <v>934</v>
      </c>
      <c r="B326" s="312" t="s">
        <v>935</v>
      </c>
      <c r="C326" s="311" t="s">
        <v>936</v>
      </c>
      <c r="D326" s="327">
        <v>0.14099999999999999</v>
      </c>
    </row>
    <row r="327" spans="1:4" x14ac:dyDescent="0.25">
      <c r="A327" s="324" t="s">
        <v>937</v>
      </c>
      <c r="B327" s="312" t="s">
        <v>938</v>
      </c>
      <c r="C327" s="311" t="s">
        <v>199</v>
      </c>
      <c r="D327" s="327">
        <v>1.5</v>
      </c>
    </row>
    <row r="328" spans="1:4" x14ac:dyDescent="0.25">
      <c r="A328" s="324" t="s">
        <v>939</v>
      </c>
      <c r="B328" s="312" t="s">
        <v>940</v>
      </c>
      <c r="C328" s="311" t="s">
        <v>199</v>
      </c>
      <c r="D328" s="327">
        <v>15.576000000000001</v>
      </c>
    </row>
    <row r="329" spans="1:4" x14ac:dyDescent="0.25">
      <c r="A329" s="324" t="s">
        <v>941</v>
      </c>
      <c r="B329" s="312" t="s">
        <v>2557</v>
      </c>
      <c r="C329" s="311" t="s">
        <v>198</v>
      </c>
      <c r="D329" s="327">
        <v>27.527999999999999</v>
      </c>
    </row>
    <row r="330" spans="1:4" x14ac:dyDescent="0.25">
      <c r="A330" s="324" t="s">
        <v>943</v>
      </c>
      <c r="B330" s="312" t="s">
        <v>944</v>
      </c>
      <c r="C330" s="311" t="s">
        <v>945</v>
      </c>
      <c r="D330" s="327">
        <v>1.877</v>
      </c>
    </row>
    <row r="331" spans="1:4" x14ac:dyDescent="0.25">
      <c r="A331" s="324" t="s">
        <v>946</v>
      </c>
      <c r="B331" s="312" t="s">
        <v>944</v>
      </c>
      <c r="C331" s="311" t="s">
        <v>947</v>
      </c>
      <c r="D331" s="327">
        <v>0.93799999999999994</v>
      </c>
    </row>
    <row r="332" spans="1:4" x14ac:dyDescent="0.25">
      <c r="A332" s="324" t="s">
        <v>948</v>
      </c>
      <c r="B332" s="312" t="s">
        <v>949</v>
      </c>
      <c r="C332" s="311" t="s">
        <v>947</v>
      </c>
      <c r="D332" s="327">
        <v>0.59399999999999997</v>
      </c>
    </row>
    <row r="333" spans="1:4" x14ac:dyDescent="0.25">
      <c r="A333" s="324" t="s">
        <v>950</v>
      </c>
      <c r="B333" s="312" t="s">
        <v>944</v>
      </c>
      <c r="C333" s="311" t="s">
        <v>951</v>
      </c>
      <c r="D333" s="327">
        <v>0.46</v>
      </c>
    </row>
    <row r="334" spans="1:4" x14ac:dyDescent="0.25">
      <c r="A334" s="324" t="s">
        <v>952</v>
      </c>
      <c r="B334" s="312" t="s">
        <v>953</v>
      </c>
      <c r="C334" s="311" t="s">
        <v>947</v>
      </c>
      <c r="D334" s="327">
        <v>1.839</v>
      </c>
    </row>
    <row r="335" spans="1:4" x14ac:dyDescent="0.25">
      <c r="A335" s="324" t="s">
        <v>954</v>
      </c>
      <c r="B335" s="312" t="s">
        <v>955</v>
      </c>
      <c r="C335" s="311" t="s">
        <v>956</v>
      </c>
      <c r="D335" s="327">
        <v>3.5779999999999998</v>
      </c>
    </row>
    <row r="336" spans="1:4" x14ac:dyDescent="0.25">
      <c r="A336" s="324" t="s">
        <v>957</v>
      </c>
      <c r="B336" s="312" t="s">
        <v>958</v>
      </c>
      <c r="C336" s="311" t="s">
        <v>956</v>
      </c>
      <c r="D336" s="327">
        <v>1.8240000000000001</v>
      </c>
    </row>
    <row r="337" spans="1:4" x14ac:dyDescent="0.25">
      <c r="A337" s="324" t="s">
        <v>968</v>
      </c>
      <c r="B337" s="312" t="s">
        <v>969</v>
      </c>
      <c r="C337" s="311" t="s">
        <v>963</v>
      </c>
      <c r="D337" s="327">
        <v>7.774</v>
      </c>
    </row>
    <row r="338" spans="1:4" x14ac:dyDescent="0.25">
      <c r="A338" s="325" t="s">
        <v>972</v>
      </c>
      <c r="B338" s="312" t="s">
        <v>973</v>
      </c>
      <c r="C338" s="311" t="s">
        <v>963</v>
      </c>
      <c r="D338" s="327">
        <v>1.454</v>
      </c>
    </row>
    <row r="339" spans="1:4" x14ac:dyDescent="0.25">
      <c r="A339" s="324" t="s">
        <v>974</v>
      </c>
      <c r="B339" s="312" t="s">
        <v>975</v>
      </c>
      <c r="C339" s="311" t="s">
        <v>976</v>
      </c>
      <c r="D339" s="327">
        <v>0.999</v>
      </c>
    </row>
    <row r="340" spans="1:4" x14ac:dyDescent="0.25">
      <c r="A340" s="324" t="s">
        <v>977</v>
      </c>
      <c r="B340" s="312" t="s">
        <v>978</v>
      </c>
      <c r="C340" s="311" t="s">
        <v>963</v>
      </c>
      <c r="D340" s="327">
        <v>1.2230000000000001</v>
      </c>
    </row>
    <row r="341" spans="1:4" x14ac:dyDescent="0.25">
      <c r="A341" s="324" t="s">
        <v>979</v>
      </c>
      <c r="B341" s="312" t="s">
        <v>980</v>
      </c>
      <c r="C341" s="316" t="s">
        <v>981</v>
      </c>
      <c r="D341" s="327">
        <v>0.96499999999999997</v>
      </c>
    </row>
    <row r="342" spans="1:4" x14ac:dyDescent="0.25">
      <c r="A342" s="324" t="s">
        <v>982</v>
      </c>
      <c r="B342" s="312" t="s">
        <v>2558</v>
      </c>
      <c r="C342" s="311" t="s">
        <v>963</v>
      </c>
      <c r="D342" s="327">
        <v>0.996</v>
      </c>
    </row>
    <row r="343" spans="1:4" x14ac:dyDescent="0.25">
      <c r="A343" s="324" t="s">
        <v>986</v>
      </c>
      <c r="B343" s="312" t="s">
        <v>987</v>
      </c>
      <c r="C343" s="316" t="s">
        <v>452</v>
      </c>
      <c r="D343" s="327">
        <v>1.968</v>
      </c>
    </row>
    <row r="344" spans="1:4" x14ac:dyDescent="0.25">
      <c r="A344" s="324" t="s">
        <v>988</v>
      </c>
      <c r="B344" s="312" t="s">
        <v>989</v>
      </c>
      <c r="C344" s="311" t="s">
        <v>963</v>
      </c>
      <c r="D344" s="327">
        <v>0.95899999999999996</v>
      </c>
    </row>
    <row r="345" spans="1:4" x14ac:dyDescent="0.25">
      <c r="A345" s="324" t="s">
        <v>990</v>
      </c>
      <c r="B345" s="312" t="s">
        <v>2559</v>
      </c>
      <c r="C345" s="311" t="s">
        <v>963</v>
      </c>
      <c r="D345" s="327">
        <v>1.177</v>
      </c>
    </row>
    <row r="346" spans="1:4" x14ac:dyDescent="0.25">
      <c r="A346" s="324" t="s">
        <v>992</v>
      </c>
      <c r="B346" s="312" t="s">
        <v>2560</v>
      </c>
      <c r="C346" s="311" t="s">
        <v>963</v>
      </c>
      <c r="D346" s="327">
        <v>1.0960000000000001</v>
      </c>
    </row>
    <row r="347" spans="1:4" x14ac:dyDescent="0.25">
      <c r="A347" s="324" t="s">
        <v>994</v>
      </c>
      <c r="B347" s="312" t="s">
        <v>995</v>
      </c>
      <c r="C347" s="311" t="s">
        <v>963</v>
      </c>
      <c r="D347" s="327">
        <v>1.2150000000000001</v>
      </c>
    </row>
    <row r="348" spans="1:4" x14ac:dyDescent="0.25">
      <c r="A348" s="324" t="s">
        <v>996</v>
      </c>
      <c r="B348" s="312" t="s">
        <v>2561</v>
      </c>
      <c r="C348" s="311" t="s">
        <v>963</v>
      </c>
      <c r="D348" s="327">
        <v>1.4530000000000001</v>
      </c>
    </row>
    <row r="349" spans="1:4" x14ac:dyDescent="0.25">
      <c r="A349" s="324" t="s">
        <v>998</v>
      </c>
      <c r="B349" s="312" t="s">
        <v>999</v>
      </c>
      <c r="C349" s="311" t="s">
        <v>963</v>
      </c>
      <c r="D349" s="327">
        <v>3.6150000000000002</v>
      </c>
    </row>
    <row r="350" spans="1:4" x14ac:dyDescent="0.25">
      <c r="A350" s="324" t="s">
        <v>1000</v>
      </c>
      <c r="B350" s="312" t="s">
        <v>1001</v>
      </c>
      <c r="C350" s="311" t="s">
        <v>963</v>
      </c>
      <c r="D350" s="327">
        <v>1.9</v>
      </c>
    </row>
    <row r="351" spans="1:4" x14ac:dyDescent="0.25">
      <c r="A351" s="324" t="s">
        <v>1002</v>
      </c>
      <c r="B351" s="312" t="s">
        <v>1003</v>
      </c>
      <c r="C351" s="311" t="s">
        <v>963</v>
      </c>
      <c r="D351" s="327">
        <v>1.238</v>
      </c>
    </row>
    <row r="352" spans="1:4" x14ac:dyDescent="0.25">
      <c r="A352" s="324" t="s">
        <v>1004</v>
      </c>
      <c r="B352" s="312" t="s">
        <v>2562</v>
      </c>
      <c r="C352" s="311" t="s">
        <v>963</v>
      </c>
      <c r="D352" s="327">
        <v>2.8069999999999999</v>
      </c>
    </row>
    <row r="353" spans="1:4" x14ac:dyDescent="0.25">
      <c r="A353" s="324" t="s">
        <v>1008</v>
      </c>
      <c r="B353" s="312" t="s">
        <v>1009</v>
      </c>
      <c r="C353" s="311" t="s">
        <v>963</v>
      </c>
      <c r="D353" s="327">
        <v>1.8939999999999999</v>
      </c>
    </row>
    <row r="354" spans="1:4" x14ac:dyDescent="0.25">
      <c r="A354" s="324" t="s">
        <v>1020</v>
      </c>
      <c r="B354" s="312" t="s">
        <v>1021</v>
      </c>
      <c r="C354" s="311" t="s">
        <v>1022</v>
      </c>
      <c r="D354" s="327">
        <v>292.56</v>
      </c>
    </row>
    <row r="355" spans="1:4" x14ac:dyDescent="0.25">
      <c r="A355" s="324" t="s">
        <v>1023</v>
      </c>
      <c r="B355" s="312" t="s">
        <v>1024</v>
      </c>
      <c r="C355" s="311" t="s">
        <v>1025</v>
      </c>
      <c r="D355" s="327">
        <v>20150.530999999999</v>
      </c>
    </row>
    <row r="356" spans="1:4" x14ac:dyDescent="0.25">
      <c r="A356" s="324" t="s">
        <v>1026</v>
      </c>
      <c r="B356" s="312" t="s">
        <v>1027</v>
      </c>
      <c r="C356" s="311" t="s">
        <v>273</v>
      </c>
      <c r="D356" s="327">
        <v>201.11600000000001</v>
      </c>
    </row>
    <row r="357" spans="1:4" x14ac:dyDescent="0.25">
      <c r="A357" s="325" t="s">
        <v>1028</v>
      </c>
      <c r="B357" s="312" t="s">
        <v>1029</v>
      </c>
      <c r="C357" s="314" t="s">
        <v>318</v>
      </c>
      <c r="D357" s="327">
        <v>490.947</v>
      </c>
    </row>
    <row r="358" spans="1:4" x14ac:dyDescent="0.25">
      <c r="A358" s="325" t="s">
        <v>1030</v>
      </c>
      <c r="B358" s="312" t="s">
        <v>2563</v>
      </c>
      <c r="C358" s="314" t="s">
        <v>1032</v>
      </c>
      <c r="D358" s="327">
        <v>1046.75</v>
      </c>
    </row>
    <row r="359" spans="1:4" x14ac:dyDescent="0.25">
      <c r="A359" s="324" t="s">
        <v>1033</v>
      </c>
      <c r="B359" s="312" t="s">
        <v>2412</v>
      </c>
      <c r="C359" s="311" t="s">
        <v>1035</v>
      </c>
      <c r="D359" s="327">
        <v>88.116</v>
      </c>
    </row>
    <row r="360" spans="1:4" x14ac:dyDescent="0.25">
      <c r="A360" s="324" t="s">
        <v>1036</v>
      </c>
      <c r="B360" s="312" t="s">
        <v>1037</v>
      </c>
      <c r="C360" s="311" t="s">
        <v>1035</v>
      </c>
      <c r="D360" s="327">
        <v>149.096</v>
      </c>
    </row>
    <row r="361" spans="1:4" x14ac:dyDescent="0.25">
      <c r="A361" s="324" t="s">
        <v>1587</v>
      </c>
      <c r="B361" s="312" t="s">
        <v>1588</v>
      </c>
      <c r="C361" s="311" t="s">
        <v>1035</v>
      </c>
      <c r="D361" s="327">
        <v>168.541</v>
      </c>
    </row>
    <row r="362" spans="1:4" x14ac:dyDescent="0.25">
      <c r="A362" s="324" t="s">
        <v>1038</v>
      </c>
      <c r="B362" s="312" t="s">
        <v>2564</v>
      </c>
      <c r="C362" s="311" t="s">
        <v>198</v>
      </c>
      <c r="D362" s="327">
        <v>13.129</v>
      </c>
    </row>
    <row r="363" spans="1:4" x14ac:dyDescent="0.25">
      <c r="A363" s="324" t="s">
        <v>2116</v>
      </c>
      <c r="B363" s="312" t="s">
        <v>2565</v>
      </c>
      <c r="C363" s="311" t="s">
        <v>1035</v>
      </c>
      <c r="D363" s="327">
        <v>563.61300000000006</v>
      </c>
    </row>
    <row r="364" spans="1:4" x14ac:dyDescent="0.25">
      <c r="A364" s="324" t="s">
        <v>1590</v>
      </c>
      <c r="B364" s="312" t="s">
        <v>1591</v>
      </c>
      <c r="C364" s="311" t="s">
        <v>1813</v>
      </c>
      <c r="D364" s="328">
        <v>935.00199999999995</v>
      </c>
    </row>
    <row r="365" spans="1:4" x14ac:dyDescent="0.25">
      <c r="A365" s="324" t="s">
        <v>1040</v>
      </c>
      <c r="B365" s="312" t="s">
        <v>1041</v>
      </c>
      <c r="C365" s="311" t="s">
        <v>1042</v>
      </c>
      <c r="D365" s="327">
        <v>2.891</v>
      </c>
    </row>
    <row r="366" spans="1:4" x14ac:dyDescent="0.25">
      <c r="A366" s="324" t="s">
        <v>1048</v>
      </c>
      <c r="B366" s="312" t="s">
        <v>1049</v>
      </c>
      <c r="C366" s="311" t="s">
        <v>209</v>
      </c>
      <c r="D366" s="327">
        <v>0.35899999999999999</v>
      </c>
    </row>
    <row r="367" spans="1:4" x14ac:dyDescent="0.25">
      <c r="A367" s="324" t="s">
        <v>1050</v>
      </c>
      <c r="B367" s="312" t="s">
        <v>1051</v>
      </c>
      <c r="C367" s="311" t="s">
        <v>257</v>
      </c>
      <c r="D367" s="327">
        <v>3.36</v>
      </c>
    </row>
    <row r="368" spans="1:4" x14ac:dyDescent="0.25">
      <c r="A368" s="324" t="s">
        <v>1054</v>
      </c>
      <c r="B368" s="312" t="s">
        <v>1055</v>
      </c>
      <c r="C368" s="311" t="s">
        <v>295</v>
      </c>
      <c r="D368" s="327">
        <v>1136.933</v>
      </c>
    </row>
    <row r="369" spans="1:4" x14ac:dyDescent="0.25">
      <c r="A369" s="324" t="s">
        <v>1056</v>
      </c>
      <c r="B369" s="312" t="s">
        <v>2566</v>
      </c>
      <c r="C369" s="311" t="s">
        <v>198</v>
      </c>
      <c r="D369" s="327">
        <v>0.85</v>
      </c>
    </row>
    <row r="370" spans="1:4" x14ac:dyDescent="0.25">
      <c r="A370" s="325" t="s">
        <v>1058</v>
      </c>
      <c r="B370" s="312" t="s">
        <v>1059</v>
      </c>
      <c r="C370" s="314" t="s">
        <v>273</v>
      </c>
      <c r="D370" s="327">
        <v>0.39200000000000002</v>
      </c>
    </row>
    <row r="371" spans="1:4" x14ac:dyDescent="0.25">
      <c r="A371" s="324" t="s">
        <v>1060</v>
      </c>
      <c r="B371" s="312" t="s">
        <v>1061</v>
      </c>
      <c r="C371" s="311" t="s">
        <v>513</v>
      </c>
      <c r="D371" s="327">
        <v>0.32800000000000001</v>
      </c>
    </row>
    <row r="372" spans="1:4" x14ac:dyDescent="0.25">
      <c r="A372" s="324" t="s">
        <v>1062</v>
      </c>
      <c r="B372" s="312" t="s">
        <v>1063</v>
      </c>
      <c r="C372" s="311" t="s">
        <v>200</v>
      </c>
      <c r="D372" s="327">
        <v>0.125</v>
      </c>
    </row>
    <row r="373" spans="1:4" x14ac:dyDescent="0.25">
      <c r="A373" s="324" t="s">
        <v>1064</v>
      </c>
      <c r="B373" s="312" t="s">
        <v>1065</v>
      </c>
      <c r="C373" s="311" t="s">
        <v>553</v>
      </c>
      <c r="D373" s="327">
        <v>643.00099999999998</v>
      </c>
    </row>
    <row r="374" spans="1:4" x14ac:dyDescent="0.25">
      <c r="A374" s="324" t="s">
        <v>1066</v>
      </c>
      <c r="B374" s="312" t="s">
        <v>1067</v>
      </c>
      <c r="C374" s="311" t="s">
        <v>198</v>
      </c>
      <c r="D374" s="327">
        <v>1.2999999999999999E-2</v>
      </c>
    </row>
    <row r="375" spans="1:4" x14ac:dyDescent="0.25">
      <c r="A375" s="324" t="s">
        <v>1068</v>
      </c>
      <c r="B375" s="312" t="s">
        <v>1069</v>
      </c>
      <c r="C375" s="311" t="s">
        <v>553</v>
      </c>
      <c r="D375" s="327">
        <v>0.97499999999999998</v>
      </c>
    </row>
    <row r="376" spans="1:4" x14ac:dyDescent="0.25">
      <c r="A376" s="324" t="s">
        <v>1070</v>
      </c>
      <c r="B376" s="312" t="s">
        <v>1071</v>
      </c>
      <c r="C376" s="311" t="s">
        <v>295</v>
      </c>
      <c r="D376" s="327">
        <v>42.694000000000003</v>
      </c>
    </row>
    <row r="377" spans="1:4" x14ac:dyDescent="0.25">
      <c r="A377" s="324" t="s">
        <v>1072</v>
      </c>
      <c r="B377" s="312" t="s">
        <v>1073</v>
      </c>
      <c r="C377" s="311" t="s">
        <v>295</v>
      </c>
      <c r="D377" s="327">
        <v>1.0069999999999999</v>
      </c>
    </row>
    <row r="378" spans="1:4" x14ac:dyDescent="0.25">
      <c r="A378" s="324" t="s">
        <v>1074</v>
      </c>
      <c r="B378" s="312" t="s">
        <v>1075</v>
      </c>
      <c r="C378" s="311" t="s">
        <v>1076</v>
      </c>
      <c r="D378" s="327">
        <v>3.0579999999999998</v>
      </c>
    </row>
    <row r="379" spans="1:4" x14ac:dyDescent="0.25">
      <c r="A379" s="324" t="s">
        <v>1077</v>
      </c>
      <c r="B379" s="312" t="s">
        <v>1078</v>
      </c>
      <c r="C379" s="311" t="s">
        <v>198</v>
      </c>
      <c r="D379" s="327">
        <v>9.6679999999999993</v>
      </c>
    </row>
    <row r="380" spans="1:4" x14ac:dyDescent="0.25">
      <c r="A380" s="324" t="s">
        <v>1079</v>
      </c>
      <c r="B380" s="312" t="s">
        <v>1080</v>
      </c>
      <c r="C380" s="311" t="s">
        <v>200</v>
      </c>
      <c r="D380" s="327">
        <v>164.44</v>
      </c>
    </row>
    <row r="381" spans="1:4" x14ac:dyDescent="0.25">
      <c r="A381" s="324" t="s">
        <v>1081</v>
      </c>
      <c r="B381" s="312" t="s">
        <v>1082</v>
      </c>
      <c r="C381" s="311" t="s">
        <v>458</v>
      </c>
      <c r="D381" s="327">
        <v>7.4950000000000001</v>
      </c>
    </row>
    <row r="382" spans="1:4" x14ac:dyDescent="0.25">
      <c r="A382" s="324" t="s">
        <v>1083</v>
      </c>
      <c r="B382" s="312" t="s">
        <v>1084</v>
      </c>
      <c r="C382" s="311" t="s">
        <v>1085</v>
      </c>
      <c r="D382" s="327">
        <v>8.2579999999999991</v>
      </c>
    </row>
    <row r="383" spans="1:4" x14ac:dyDescent="0.25">
      <c r="A383" s="324" t="s">
        <v>1086</v>
      </c>
      <c r="B383" s="312" t="s">
        <v>1087</v>
      </c>
      <c r="C383" s="311" t="s">
        <v>239</v>
      </c>
      <c r="D383" s="327">
        <v>9.4060000000000006</v>
      </c>
    </row>
    <row r="384" spans="1:4" x14ac:dyDescent="0.25">
      <c r="A384" s="324" t="s">
        <v>1088</v>
      </c>
      <c r="B384" s="312" t="s">
        <v>1089</v>
      </c>
      <c r="C384" s="311" t="s">
        <v>405</v>
      </c>
      <c r="D384" s="327">
        <v>4.0229999999999997</v>
      </c>
    </row>
    <row r="385" spans="1:4" x14ac:dyDescent="0.25">
      <c r="A385" s="324" t="s">
        <v>1090</v>
      </c>
      <c r="B385" s="312" t="s">
        <v>1091</v>
      </c>
      <c r="C385" s="311" t="s">
        <v>198</v>
      </c>
      <c r="D385" s="327">
        <v>0.11600000000000001</v>
      </c>
    </row>
    <row r="386" spans="1:4" x14ac:dyDescent="0.25">
      <c r="A386" s="324" t="s">
        <v>1092</v>
      </c>
      <c r="B386" s="312" t="s">
        <v>1093</v>
      </c>
      <c r="C386" s="311" t="s">
        <v>396</v>
      </c>
      <c r="D386" s="327">
        <v>0.28299999999999997</v>
      </c>
    </row>
    <row r="387" spans="1:4" x14ac:dyDescent="0.25">
      <c r="A387" s="324" t="s">
        <v>1094</v>
      </c>
      <c r="B387" s="312" t="s">
        <v>1095</v>
      </c>
      <c r="C387" s="311" t="s">
        <v>198</v>
      </c>
      <c r="D387" s="327">
        <v>4.7E-2</v>
      </c>
    </row>
    <row r="388" spans="1:4" x14ac:dyDescent="0.25">
      <c r="A388" s="324" t="s">
        <v>1096</v>
      </c>
      <c r="B388" s="312" t="s">
        <v>1097</v>
      </c>
      <c r="C388" s="311" t="s">
        <v>396</v>
      </c>
      <c r="D388" s="327">
        <v>7.6999999999999999E-2</v>
      </c>
    </row>
    <row r="389" spans="1:4" x14ac:dyDescent="0.25">
      <c r="A389" s="324" t="s">
        <v>1098</v>
      </c>
      <c r="B389" s="312" t="s">
        <v>1099</v>
      </c>
      <c r="C389" s="311" t="s">
        <v>1100</v>
      </c>
      <c r="D389" s="327">
        <v>0.154</v>
      </c>
    </row>
    <row r="390" spans="1:4" x14ac:dyDescent="0.25">
      <c r="A390" s="324" t="s">
        <v>1101</v>
      </c>
      <c r="B390" s="312" t="s">
        <v>1102</v>
      </c>
      <c r="C390" s="311" t="s">
        <v>396</v>
      </c>
      <c r="D390" s="327">
        <v>5.3159999999999998</v>
      </c>
    </row>
    <row r="391" spans="1:4" x14ac:dyDescent="0.25">
      <c r="A391" s="324" t="s">
        <v>1103</v>
      </c>
      <c r="B391" s="312" t="s">
        <v>1104</v>
      </c>
      <c r="C391" s="311" t="s">
        <v>199</v>
      </c>
      <c r="D391" s="327">
        <v>0.79700000000000004</v>
      </c>
    </row>
    <row r="392" spans="1:4" x14ac:dyDescent="0.25">
      <c r="A392" s="324" t="s">
        <v>1105</v>
      </c>
      <c r="B392" s="312" t="s">
        <v>1106</v>
      </c>
      <c r="C392" s="311" t="s">
        <v>198</v>
      </c>
      <c r="D392" s="327">
        <v>38.984999999999999</v>
      </c>
    </row>
    <row r="393" spans="1:4" x14ac:dyDescent="0.25">
      <c r="A393" s="324" t="s">
        <v>1107</v>
      </c>
      <c r="B393" s="312" t="s">
        <v>1108</v>
      </c>
      <c r="C393" s="311" t="s">
        <v>198</v>
      </c>
      <c r="D393" s="327">
        <v>0.21099999999999999</v>
      </c>
    </row>
    <row r="394" spans="1:4" x14ac:dyDescent="0.25">
      <c r="A394" s="324" t="s">
        <v>1109</v>
      </c>
      <c r="B394" s="312" t="s">
        <v>1110</v>
      </c>
      <c r="C394" s="311" t="s">
        <v>198</v>
      </c>
      <c r="D394" s="327">
        <v>0.51500000000000001</v>
      </c>
    </row>
    <row r="395" spans="1:4" x14ac:dyDescent="0.25">
      <c r="A395" s="324" t="s">
        <v>1111</v>
      </c>
      <c r="B395" s="312" t="s">
        <v>1112</v>
      </c>
      <c r="C395" s="311" t="s">
        <v>683</v>
      </c>
      <c r="D395" s="327">
        <v>55.607999999999997</v>
      </c>
    </row>
    <row r="396" spans="1:4" x14ac:dyDescent="0.25">
      <c r="A396" s="324" t="s">
        <v>1113</v>
      </c>
      <c r="B396" s="312" t="s">
        <v>1114</v>
      </c>
      <c r="C396" s="311" t="s">
        <v>1115</v>
      </c>
      <c r="D396" s="327">
        <v>506.43700000000001</v>
      </c>
    </row>
    <row r="397" spans="1:4" x14ac:dyDescent="0.25">
      <c r="A397" s="324" t="s">
        <v>1116</v>
      </c>
      <c r="B397" s="312" t="s">
        <v>1117</v>
      </c>
      <c r="C397" s="311" t="s">
        <v>200</v>
      </c>
      <c r="D397" s="327">
        <v>10.204000000000001</v>
      </c>
    </row>
    <row r="398" spans="1:4" x14ac:dyDescent="0.25">
      <c r="A398" s="324" t="s">
        <v>1118</v>
      </c>
      <c r="B398" s="312" t="s">
        <v>1119</v>
      </c>
      <c r="C398" s="311" t="s">
        <v>688</v>
      </c>
      <c r="D398" s="327">
        <v>12.342000000000001</v>
      </c>
    </row>
    <row r="399" spans="1:4" x14ac:dyDescent="0.25">
      <c r="A399" s="324" t="s">
        <v>1120</v>
      </c>
      <c r="B399" s="312" t="s">
        <v>1121</v>
      </c>
      <c r="C399" s="311" t="s">
        <v>445</v>
      </c>
      <c r="D399" s="327">
        <v>5.2380000000000004</v>
      </c>
    </row>
    <row r="400" spans="1:4" x14ac:dyDescent="0.25">
      <c r="A400" s="324" t="s">
        <v>1122</v>
      </c>
      <c r="B400" s="312" t="s">
        <v>1123</v>
      </c>
      <c r="C400" s="311" t="s">
        <v>284</v>
      </c>
      <c r="D400" s="327">
        <v>16.646999999999998</v>
      </c>
    </row>
    <row r="401" spans="1:4" x14ac:dyDescent="0.25">
      <c r="A401" s="324" t="s">
        <v>1124</v>
      </c>
      <c r="B401" s="312" t="s">
        <v>2567</v>
      </c>
      <c r="C401" s="311" t="s">
        <v>553</v>
      </c>
      <c r="D401" s="327">
        <v>3.6749999999999998</v>
      </c>
    </row>
    <row r="402" spans="1:4" x14ac:dyDescent="0.25">
      <c r="A402" s="324" t="s">
        <v>1126</v>
      </c>
      <c r="B402" s="312" t="s">
        <v>1127</v>
      </c>
      <c r="C402" s="311" t="s">
        <v>458</v>
      </c>
      <c r="D402" s="327">
        <v>0.124</v>
      </c>
    </row>
    <row r="403" spans="1:4" x14ac:dyDescent="0.25">
      <c r="A403" s="324" t="s">
        <v>1128</v>
      </c>
      <c r="B403" s="312" t="s">
        <v>2568</v>
      </c>
      <c r="C403" s="311" t="s">
        <v>209</v>
      </c>
      <c r="D403" s="327">
        <v>68.62</v>
      </c>
    </row>
    <row r="404" spans="1:4" x14ac:dyDescent="0.25">
      <c r="A404" s="324" t="s">
        <v>1130</v>
      </c>
      <c r="B404" s="312" t="s">
        <v>2569</v>
      </c>
      <c r="C404" s="311" t="s">
        <v>688</v>
      </c>
      <c r="D404" s="327">
        <v>10.606999999999999</v>
      </c>
    </row>
    <row r="405" spans="1:4" x14ac:dyDescent="0.25">
      <c r="A405" s="324" t="s">
        <v>1132</v>
      </c>
      <c r="B405" s="312" t="s">
        <v>2570</v>
      </c>
      <c r="C405" s="311" t="s">
        <v>1134</v>
      </c>
      <c r="D405" s="327">
        <v>1.3839999999999999</v>
      </c>
    </row>
    <row r="406" spans="1:4" x14ac:dyDescent="0.25">
      <c r="A406" s="325" t="s">
        <v>1135</v>
      </c>
      <c r="B406" s="312" t="s">
        <v>2413</v>
      </c>
      <c r="C406" s="314" t="s">
        <v>396</v>
      </c>
      <c r="D406" s="327">
        <v>494.07799999999997</v>
      </c>
    </row>
    <row r="407" spans="1:4" x14ac:dyDescent="0.25">
      <c r="A407" s="324" t="s">
        <v>1139</v>
      </c>
      <c r="B407" s="312" t="s">
        <v>1140</v>
      </c>
      <c r="C407" s="311" t="s">
        <v>200</v>
      </c>
      <c r="D407" s="327">
        <v>3.6190000000000002</v>
      </c>
    </row>
    <row r="408" spans="1:4" x14ac:dyDescent="0.25">
      <c r="A408" s="324" t="s">
        <v>1141</v>
      </c>
      <c r="B408" s="312" t="s">
        <v>1142</v>
      </c>
      <c r="C408" s="311" t="s">
        <v>1143</v>
      </c>
      <c r="D408" s="327">
        <v>101.164</v>
      </c>
    </row>
    <row r="409" spans="1:4" x14ac:dyDescent="0.25">
      <c r="A409" s="324" t="s">
        <v>1144</v>
      </c>
      <c r="B409" s="312" t="s">
        <v>1145</v>
      </c>
      <c r="C409" s="311" t="s">
        <v>199</v>
      </c>
      <c r="D409" s="327">
        <v>3.1019999999999999</v>
      </c>
    </row>
    <row r="410" spans="1:4" x14ac:dyDescent="0.25">
      <c r="A410" s="324" t="s">
        <v>1146</v>
      </c>
      <c r="B410" s="312" t="s">
        <v>1147</v>
      </c>
      <c r="C410" s="311" t="s">
        <v>198</v>
      </c>
      <c r="D410" s="327">
        <v>59.262</v>
      </c>
    </row>
    <row r="411" spans="1:4" x14ac:dyDescent="0.25">
      <c r="A411" s="324" t="s">
        <v>1148</v>
      </c>
      <c r="B411" s="312" t="s">
        <v>1149</v>
      </c>
      <c r="C411" s="311" t="s">
        <v>1150</v>
      </c>
      <c r="D411" s="327">
        <v>388.68599999999998</v>
      </c>
    </row>
    <row r="412" spans="1:4" x14ac:dyDescent="0.25">
      <c r="A412" s="324" t="s">
        <v>1155</v>
      </c>
      <c r="B412" s="312" t="s">
        <v>1156</v>
      </c>
      <c r="C412" s="311" t="s">
        <v>198</v>
      </c>
      <c r="D412" s="327">
        <v>2.9929999999999999</v>
      </c>
    </row>
    <row r="413" spans="1:4" x14ac:dyDescent="0.25">
      <c r="A413" s="324" t="s">
        <v>1157</v>
      </c>
      <c r="B413" s="312" t="s">
        <v>1158</v>
      </c>
      <c r="C413" s="311" t="s">
        <v>198</v>
      </c>
      <c r="D413" s="327">
        <v>138.32300000000001</v>
      </c>
    </row>
    <row r="414" spans="1:4" x14ac:dyDescent="0.25">
      <c r="A414" s="324" t="s">
        <v>1814</v>
      </c>
      <c r="B414" s="312" t="s">
        <v>1815</v>
      </c>
      <c r="C414" s="311" t="s">
        <v>1274</v>
      </c>
      <c r="D414" s="327">
        <v>123.759</v>
      </c>
    </row>
    <row r="415" spans="1:4" x14ac:dyDescent="0.25">
      <c r="A415" s="325" t="s">
        <v>1161</v>
      </c>
      <c r="B415" s="312" t="s">
        <v>1162</v>
      </c>
      <c r="C415" s="314" t="s">
        <v>199</v>
      </c>
      <c r="D415" s="327">
        <v>32.5</v>
      </c>
    </row>
    <row r="416" spans="1:4" x14ac:dyDescent="0.25">
      <c r="A416" s="324" t="s">
        <v>1163</v>
      </c>
      <c r="B416" s="312" t="s">
        <v>2571</v>
      </c>
      <c r="C416" s="311" t="s">
        <v>198</v>
      </c>
      <c r="D416" s="327">
        <v>24.585999999999999</v>
      </c>
    </row>
    <row r="417" spans="1:4" x14ac:dyDescent="0.25">
      <c r="A417" s="324" t="s">
        <v>1167</v>
      </c>
      <c r="B417" s="312" t="s">
        <v>1168</v>
      </c>
      <c r="C417" s="311" t="s">
        <v>199</v>
      </c>
      <c r="D417" s="327">
        <v>70.841999999999999</v>
      </c>
    </row>
    <row r="418" spans="1:4" x14ac:dyDescent="0.25">
      <c r="A418" s="324" t="s">
        <v>1173</v>
      </c>
      <c r="B418" s="312" t="s">
        <v>1174</v>
      </c>
      <c r="C418" s="311" t="s">
        <v>1175</v>
      </c>
      <c r="D418" s="327">
        <v>21.196000000000002</v>
      </c>
    </row>
    <row r="419" spans="1:4" x14ac:dyDescent="0.25">
      <c r="A419" s="324" t="s">
        <v>1176</v>
      </c>
      <c r="B419" s="312" t="s">
        <v>2414</v>
      </c>
      <c r="C419" s="311" t="s">
        <v>273</v>
      </c>
      <c r="D419" s="329">
        <v>46.818322285714281</v>
      </c>
    </row>
    <row r="420" spans="1:4" x14ac:dyDescent="0.25">
      <c r="A420" s="324" t="s">
        <v>1178</v>
      </c>
      <c r="B420" s="312" t="s">
        <v>1179</v>
      </c>
      <c r="C420" s="311" t="s">
        <v>198</v>
      </c>
      <c r="D420" s="327">
        <v>124.422</v>
      </c>
    </row>
    <row r="421" spans="1:4" x14ac:dyDescent="0.25">
      <c r="A421" s="324" t="s">
        <v>1180</v>
      </c>
      <c r="B421" s="312" t="s">
        <v>1181</v>
      </c>
      <c r="C421" s="311" t="s">
        <v>198</v>
      </c>
      <c r="D421" s="327">
        <v>147.71700000000001</v>
      </c>
    </row>
    <row r="422" spans="1:4" x14ac:dyDescent="0.25">
      <c r="A422" s="324" t="s">
        <v>1184</v>
      </c>
      <c r="B422" s="312" t="s">
        <v>1185</v>
      </c>
      <c r="C422" s="311" t="s">
        <v>209</v>
      </c>
      <c r="D422" s="327">
        <v>3.6309999999999998</v>
      </c>
    </row>
    <row r="423" spans="1:4" x14ac:dyDescent="0.25">
      <c r="A423" s="325" t="s">
        <v>1186</v>
      </c>
      <c r="B423" s="312" t="s">
        <v>2572</v>
      </c>
      <c r="C423" s="314" t="s">
        <v>198</v>
      </c>
      <c r="D423" s="327">
        <v>30.88</v>
      </c>
    </row>
    <row r="424" spans="1:4" x14ac:dyDescent="0.25">
      <c r="A424" s="324" t="s">
        <v>1188</v>
      </c>
      <c r="B424" s="312" t="s">
        <v>1189</v>
      </c>
      <c r="C424" s="311" t="s">
        <v>257</v>
      </c>
      <c r="D424" s="327">
        <v>3217.5129999999999</v>
      </c>
    </row>
    <row r="425" spans="1:4" x14ac:dyDescent="0.25">
      <c r="A425" s="324" t="s">
        <v>1190</v>
      </c>
      <c r="B425" s="312" t="s">
        <v>1191</v>
      </c>
      <c r="C425" s="311" t="s">
        <v>199</v>
      </c>
      <c r="D425" s="327">
        <v>53.808999999999997</v>
      </c>
    </row>
    <row r="426" spans="1:4" x14ac:dyDescent="0.25">
      <c r="A426" s="324" t="s">
        <v>1192</v>
      </c>
      <c r="B426" s="312" t="s">
        <v>2573</v>
      </c>
      <c r="C426" s="311" t="s">
        <v>199</v>
      </c>
      <c r="D426" s="327">
        <v>1.552</v>
      </c>
    </row>
    <row r="427" spans="1:4" x14ac:dyDescent="0.25">
      <c r="A427" s="324" t="s">
        <v>1194</v>
      </c>
      <c r="B427" s="312" t="s">
        <v>2574</v>
      </c>
      <c r="C427" s="311" t="s">
        <v>198</v>
      </c>
      <c r="D427" s="327">
        <v>17.536000000000001</v>
      </c>
    </row>
    <row r="428" spans="1:4" x14ac:dyDescent="0.25">
      <c r="A428" s="324" t="s">
        <v>1196</v>
      </c>
      <c r="B428" s="312" t="s">
        <v>2575</v>
      </c>
      <c r="C428" s="311" t="s">
        <v>257</v>
      </c>
      <c r="D428" s="327">
        <v>48.671999999999997</v>
      </c>
    </row>
    <row r="429" spans="1:4" x14ac:dyDescent="0.25">
      <c r="A429" s="324" t="s">
        <v>1816</v>
      </c>
      <c r="B429" s="312" t="s">
        <v>1817</v>
      </c>
      <c r="C429" s="311" t="s">
        <v>199</v>
      </c>
      <c r="D429" s="327">
        <v>581.346</v>
      </c>
    </row>
    <row r="430" spans="1:4" x14ac:dyDescent="0.25">
      <c r="A430" s="324" t="s">
        <v>1198</v>
      </c>
      <c r="B430" s="312" t="s">
        <v>2576</v>
      </c>
      <c r="C430" s="311" t="s">
        <v>257</v>
      </c>
      <c r="D430" s="327">
        <v>0.88300000000000001</v>
      </c>
    </row>
    <row r="431" spans="1:4" x14ac:dyDescent="0.25">
      <c r="A431" s="324" t="s">
        <v>1200</v>
      </c>
      <c r="B431" s="312" t="s">
        <v>1201</v>
      </c>
      <c r="C431" s="311" t="s">
        <v>396</v>
      </c>
      <c r="D431" s="327">
        <v>1160.3399999999999</v>
      </c>
    </row>
    <row r="432" spans="1:4" x14ac:dyDescent="0.25">
      <c r="A432" s="324" t="s">
        <v>1202</v>
      </c>
      <c r="B432" s="312" t="s">
        <v>1203</v>
      </c>
      <c r="C432" s="311" t="s">
        <v>257</v>
      </c>
      <c r="D432" s="327">
        <v>3.782</v>
      </c>
    </row>
    <row r="433" spans="1:4" x14ac:dyDescent="0.25">
      <c r="A433" s="324" t="s">
        <v>1206</v>
      </c>
      <c r="B433" s="312" t="s">
        <v>1207</v>
      </c>
      <c r="C433" s="311" t="s">
        <v>199</v>
      </c>
      <c r="D433" s="327">
        <v>26.463999999999999</v>
      </c>
    </row>
    <row r="434" spans="1:4" x14ac:dyDescent="0.25">
      <c r="A434" s="326" t="s">
        <v>1211</v>
      </c>
      <c r="B434" s="312" t="s">
        <v>1212</v>
      </c>
      <c r="C434" s="311" t="s">
        <v>198</v>
      </c>
      <c r="D434" s="327">
        <v>3.6480000000000001</v>
      </c>
    </row>
    <row r="435" spans="1:4" x14ac:dyDescent="0.25">
      <c r="A435" s="324" t="s">
        <v>192</v>
      </c>
      <c r="B435" s="312" t="s">
        <v>1213</v>
      </c>
      <c r="C435" s="311" t="s">
        <v>198</v>
      </c>
      <c r="D435" s="327">
        <v>2.5950000000000002</v>
      </c>
    </row>
    <row r="436" spans="1:4" x14ac:dyDescent="0.25">
      <c r="A436" s="324" t="s">
        <v>195</v>
      </c>
      <c r="B436" s="312" t="s">
        <v>1218</v>
      </c>
      <c r="C436" s="311" t="s">
        <v>688</v>
      </c>
      <c r="D436" s="327">
        <v>1.6120000000000001</v>
      </c>
    </row>
    <row r="437" spans="1:4" x14ac:dyDescent="0.25">
      <c r="A437" s="324" t="s">
        <v>1219</v>
      </c>
      <c r="B437" s="312" t="s">
        <v>1220</v>
      </c>
      <c r="C437" s="311" t="s">
        <v>273</v>
      </c>
      <c r="D437" s="327">
        <v>104.425</v>
      </c>
    </row>
    <row r="438" spans="1:4" x14ac:dyDescent="0.25">
      <c r="A438" s="324" t="s">
        <v>1221</v>
      </c>
      <c r="B438" s="312" t="s">
        <v>1222</v>
      </c>
      <c r="C438" s="311" t="s">
        <v>199</v>
      </c>
      <c r="D438" s="327">
        <v>0.63100000000000001</v>
      </c>
    </row>
    <row r="439" spans="1:4" x14ac:dyDescent="0.25">
      <c r="A439" s="324" t="s">
        <v>1223</v>
      </c>
      <c r="B439" s="312" t="s">
        <v>1224</v>
      </c>
      <c r="C439" s="311" t="s">
        <v>209</v>
      </c>
      <c r="D439" s="327">
        <v>67.393000000000001</v>
      </c>
    </row>
    <row r="440" spans="1:4" x14ac:dyDescent="0.25">
      <c r="A440" s="324" t="s">
        <v>1225</v>
      </c>
      <c r="B440" s="312" t="s">
        <v>1226</v>
      </c>
      <c r="C440" s="311" t="s">
        <v>284</v>
      </c>
      <c r="D440" s="327">
        <v>1.8069999999999999</v>
      </c>
    </row>
    <row r="441" spans="1:4" x14ac:dyDescent="0.25">
      <c r="A441" s="324" t="s">
        <v>1227</v>
      </c>
      <c r="B441" s="312" t="s">
        <v>1228</v>
      </c>
      <c r="C441" s="311" t="s">
        <v>284</v>
      </c>
      <c r="D441" s="327">
        <v>69.593999999999994</v>
      </c>
    </row>
    <row r="442" spans="1:4" x14ac:dyDescent="0.25">
      <c r="A442" s="324" t="s">
        <v>1229</v>
      </c>
      <c r="B442" s="312" t="s">
        <v>1230</v>
      </c>
      <c r="C442" s="311" t="s">
        <v>442</v>
      </c>
      <c r="D442" s="327">
        <v>8.7170000000000005</v>
      </c>
    </row>
    <row r="443" spans="1:4" x14ac:dyDescent="0.25">
      <c r="A443" s="324" t="s">
        <v>1231</v>
      </c>
      <c r="B443" s="312" t="s">
        <v>1232</v>
      </c>
      <c r="C443" s="311" t="s">
        <v>1233</v>
      </c>
      <c r="D443" s="327">
        <v>276.66300000000001</v>
      </c>
    </row>
    <row r="444" spans="1:4" x14ac:dyDescent="0.25">
      <c r="A444" s="324" t="s">
        <v>1236</v>
      </c>
      <c r="B444" s="312" t="s">
        <v>1237</v>
      </c>
      <c r="C444" s="311" t="s">
        <v>311</v>
      </c>
      <c r="D444" s="327">
        <v>4.1749999999999998</v>
      </c>
    </row>
    <row r="445" spans="1:4" x14ac:dyDescent="0.25">
      <c r="A445" s="324" t="s">
        <v>1238</v>
      </c>
      <c r="B445" s="312" t="s">
        <v>1239</v>
      </c>
      <c r="C445" s="311" t="s">
        <v>198</v>
      </c>
      <c r="D445" s="327">
        <v>73.471999999999994</v>
      </c>
    </row>
    <row r="446" spans="1:4" x14ac:dyDescent="0.25">
      <c r="A446" s="324" t="s">
        <v>1240</v>
      </c>
      <c r="B446" s="312" t="s">
        <v>1241</v>
      </c>
      <c r="C446" s="311" t="s">
        <v>405</v>
      </c>
      <c r="D446" s="327">
        <v>30.936</v>
      </c>
    </row>
    <row r="447" spans="1:4" x14ac:dyDescent="0.25">
      <c r="A447" s="324" t="s">
        <v>1242</v>
      </c>
      <c r="B447" s="312" t="s">
        <v>1243</v>
      </c>
      <c r="C447" s="311" t="s">
        <v>442</v>
      </c>
      <c r="D447" s="327">
        <v>4.1539999999999999</v>
      </c>
    </row>
    <row r="448" spans="1:4" x14ac:dyDescent="0.25">
      <c r="A448" s="324" t="s">
        <v>1244</v>
      </c>
      <c r="B448" s="312" t="s">
        <v>1245</v>
      </c>
      <c r="C448" s="311" t="s">
        <v>200</v>
      </c>
      <c r="D448" s="327">
        <v>39.054000000000002</v>
      </c>
    </row>
    <row r="449" spans="1:4" x14ac:dyDescent="0.25">
      <c r="A449" s="324" t="s">
        <v>1246</v>
      </c>
      <c r="B449" s="312" t="s">
        <v>1247</v>
      </c>
      <c r="C449" s="311" t="s">
        <v>1248</v>
      </c>
      <c r="D449" s="327">
        <v>23.901</v>
      </c>
    </row>
    <row r="450" spans="1:4" x14ac:dyDescent="0.25">
      <c r="A450" s="324" t="s">
        <v>1249</v>
      </c>
      <c r="B450" s="312" t="s">
        <v>1250</v>
      </c>
      <c r="C450" s="311" t="s">
        <v>1251</v>
      </c>
      <c r="D450" s="327">
        <v>252.58799999999999</v>
      </c>
    </row>
    <row r="451" spans="1:4" x14ac:dyDescent="0.25">
      <c r="A451" s="324" t="s">
        <v>1252</v>
      </c>
      <c r="B451" s="312" t="s">
        <v>1253</v>
      </c>
      <c r="C451" s="311" t="s">
        <v>198</v>
      </c>
      <c r="D451" s="327">
        <v>16.161000000000001</v>
      </c>
    </row>
    <row r="452" spans="1:4" x14ac:dyDescent="0.25">
      <c r="A452" s="324" t="s">
        <v>1254</v>
      </c>
      <c r="B452" s="312" t="s">
        <v>1255</v>
      </c>
      <c r="C452" s="311" t="s">
        <v>209</v>
      </c>
      <c r="D452" s="327">
        <v>3007.3969999999999</v>
      </c>
    </row>
    <row r="453" spans="1:4" x14ac:dyDescent="0.25">
      <c r="A453" s="324" t="s">
        <v>1256</v>
      </c>
      <c r="B453" s="312" t="s">
        <v>2577</v>
      </c>
      <c r="C453" s="311" t="s">
        <v>209</v>
      </c>
      <c r="D453" s="327">
        <v>23788.393</v>
      </c>
    </row>
    <row r="454" spans="1:4" x14ac:dyDescent="0.25">
      <c r="A454" s="324" t="s">
        <v>1258</v>
      </c>
      <c r="B454" s="312" t="s">
        <v>1259</v>
      </c>
      <c r="C454" s="311" t="s">
        <v>198</v>
      </c>
      <c r="D454" s="327">
        <v>139.25700000000001</v>
      </c>
    </row>
    <row r="455" spans="1:4" x14ac:dyDescent="0.25">
      <c r="A455" s="324" t="s">
        <v>1545</v>
      </c>
      <c r="B455" s="312" t="s">
        <v>1818</v>
      </c>
      <c r="C455" s="311" t="s">
        <v>199</v>
      </c>
      <c r="D455" s="327">
        <v>241.714</v>
      </c>
    </row>
    <row r="456" spans="1:4" x14ac:dyDescent="0.25">
      <c r="A456" s="324" t="s">
        <v>1260</v>
      </c>
      <c r="B456" s="312" t="s">
        <v>2578</v>
      </c>
      <c r="C456" s="311" t="s">
        <v>209</v>
      </c>
      <c r="D456" s="327">
        <v>1604.05</v>
      </c>
    </row>
    <row r="457" spans="1:4" x14ac:dyDescent="0.25">
      <c r="A457" s="324" t="s">
        <v>193</v>
      </c>
      <c r="B457" s="312" t="s">
        <v>1262</v>
      </c>
      <c r="C457" s="311" t="s">
        <v>200</v>
      </c>
      <c r="D457" s="327">
        <v>0.23100000000000001</v>
      </c>
    </row>
    <row r="458" spans="1:4" x14ac:dyDescent="0.25">
      <c r="A458" s="324" t="s">
        <v>1263</v>
      </c>
      <c r="B458" s="312" t="s">
        <v>1262</v>
      </c>
      <c r="C458" s="311" t="s">
        <v>209</v>
      </c>
      <c r="D458" s="327">
        <v>2.3090000000000002</v>
      </c>
    </row>
    <row r="459" spans="1:4" x14ac:dyDescent="0.25">
      <c r="A459" s="324" t="s">
        <v>1264</v>
      </c>
      <c r="B459" s="312" t="s">
        <v>1265</v>
      </c>
      <c r="C459" s="311" t="s">
        <v>209</v>
      </c>
      <c r="D459" s="327">
        <v>148.119</v>
      </c>
    </row>
    <row r="460" spans="1:4" x14ac:dyDescent="0.25">
      <c r="A460" s="324" t="s">
        <v>1268</v>
      </c>
      <c r="B460" s="312" t="s">
        <v>1269</v>
      </c>
      <c r="C460" s="311" t="s">
        <v>396</v>
      </c>
      <c r="D460" s="327">
        <v>0.38700000000000001</v>
      </c>
    </row>
    <row r="461" spans="1:4" x14ac:dyDescent="0.25">
      <c r="A461" s="324" t="s">
        <v>1270</v>
      </c>
      <c r="B461" s="312" t="s">
        <v>1271</v>
      </c>
      <c r="C461" s="311" t="s">
        <v>198</v>
      </c>
      <c r="D461" s="327">
        <v>10.032999999999999</v>
      </c>
    </row>
    <row r="462" spans="1:4" x14ac:dyDescent="0.25">
      <c r="A462" s="324" t="s">
        <v>1272</v>
      </c>
      <c r="B462" s="312" t="s">
        <v>1273</v>
      </c>
      <c r="C462" s="311" t="s">
        <v>1274</v>
      </c>
      <c r="D462" s="327">
        <v>8957.1740000000009</v>
      </c>
    </row>
    <row r="463" spans="1:4" x14ac:dyDescent="0.25">
      <c r="A463" s="324" t="s">
        <v>1275</v>
      </c>
      <c r="B463" s="312" t="s">
        <v>1276</v>
      </c>
      <c r="C463" s="311" t="s">
        <v>198</v>
      </c>
      <c r="D463" s="327">
        <v>0.153</v>
      </c>
    </row>
    <row r="464" spans="1:4" x14ac:dyDescent="0.25">
      <c r="A464" s="324" t="s">
        <v>1277</v>
      </c>
      <c r="B464" s="312" t="s">
        <v>1278</v>
      </c>
      <c r="C464" s="311" t="s">
        <v>199</v>
      </c>
      <c r="D464" s="327">
        <v>1620.7370000000001</v>
      </c>
    </row>
    <row r="465" spans="1:4" x14ac:dyDescent="0.25">
      <c r="A465" s="325" t="s">
        <v>1279</v>
      </c>
      <c r="B465" s="312" t="s">
        <v>1280</v>
      </c>
      <c r="C465" s="314" t="s">
        <v>198</v>
      </c>
      <c r="D465" s="327">
        <v>45.695</v>
      </c>
    </row>
    <row r="466" spans="1:4" x14ac:dyDescent="0.25">
      <c r="A466" s="324" t="s">
        <v>1281</v>
      </c>
      <c r="B466" s="312" t="s">
        <v>1282</v>
      </c>
      <c r="C466" s="311" t="s">
        <v>200</v>
      </c>
      <c r="D466" s="327">
        <v>107.60299999999999</v>
      </c>
    </row>
    <row r="467" spans="1:4" x14ac:dyDescent="0.25">
      <c r="A467" s="324" t="s">
        <v>1285</v>
      </c>
      <c r="B467" s="312" t="s">
        <v>2579</v>
      </c>
      <c r="C467" s="311" t="s">
        <v>200</v>
      </c>
      <c r="D467" s="327">
        <v>27.366</v>
      </c>
    </row>
    <row r="468" spans="1:4" x14ac:dyDescent="0.25">
      <c r="A468" s="325" t="s">
        <v>1289</v>
      </c>
      <c r="B468" s="312" t="s">
        <v>1290</v>
      </c>
      <c r="C468" s="314" t="s">
        <v>198</v>
      </c>
      <c r="D468" s="327">
        <v>25.37</v>
      </c>
    </row>
    <row r="469" spans="1:4" x14ac:dyDescent="0.25">
      <c r="A469" s="324" t="s">
        <v>1291</v>
      </c>
      <c r="B469" s="312" t="s">
        <v>1292</v>
      </c>
      <c r="C469" s="311" t="s">
        <v>199</v>
      </c>
      <c r="D469" s="327">
        <v>55.354999999999997</v>
      </c>
    </row>
    <row r="470" spans="1:4" x14ac:dyDescent="0.25">
      <c r="A470" s="324" t="s">
        <v>1293</v>
      </c>
      <c r="B470" s="312" t="s">
        <v>1294</v>
      </c>
      <c r="C470" s="311" t="s">
        <v>199</v>
      </c>
      <c r="D470" s="327">
        <v>50.527000000000001</v>
      </c>
    </row>
    <row r="471" spans="1:4" x14ac:dyDescent="0.25">
      <c r="A471" s="324" t="s">
        <v>1295</v>
      </c>
      <c r="B471" s="312" t="s">
        <v>1296</v>
      </c>
      <c r="C471" s="311" t="s">
        <v>199</v>
      </c>
      <c r="D471" s="327">
        <v>103.38800000000001</v>
      </c>
    </row>
    <row r="472" spans="1:4" x14ac:dyDescent="0.25">
      <c r="A472" s="324" t="s">
        <v>1297</v>
      </c>
      <c r="B472" s="312" t="s">
        <v>1298</v>
      </c>
      <c r="C472" s="311" t="s">
        <v>199</v>
      </c>
      <c r="D472" s="327">
        <v>61.76</v>
      </c>
    </row>
    <row r="473" spans="1:4" x14ac:dyDescent="0.25">
      <c r="A473" s="325" t="s">
        <v>1299</v>
      </c>
      <c r="B473" s="312" t="s">
        <v>2580</v>
      </c>
      <c r="C473" s="314" t="s">
        <v>198</v>
      </c>
      <c r="D473" s="327">
        <v>10.467000000000001</v>
      </c>
    </row>
    <row r="474" spans="1:4" x14ac:dyDescent="0.25">
      <c r="A474" s="324" t="s">
        <v>1301</v>
      </c>
      <c r="B474" s="312" t="s">
        <v>1302</v>
      </c>
      <c r="C474" s="311" t="s">
        <v>198</v>
      </c>
      <c r="D474" s="327">
        <v>221.75299999999999</v>
      </c>
    </row>
    <row r="475" spans="1:4" x14ac:dyDescent="0.25">
      <c r="A475" s="325" t="s">
        <v>1303</v>
      </c>
      <c r="B475" s="312" t="s">
        <v>1304</v>
      </c>
      <c r="C475" s="314" t="s">
        <v>200</v>
      </c>
      <c r="D475" s="327">
        <v>54.015000000000001</v>
      </c>
    </row>
    <row r="476" spans="1:4" x14ac:dyDescent="0.25">
      <c r="A476" s="324" t="s">
        <v>2415</v>
      </c>
      <c r="B476" s="312" t="s">
        <v>2416</v>
      </c>
      <c r="C476" s="311" t="s">
        <v>257</v>
      </c>
      <c r="D476" s="327">
        <v>769.01400000000001</v>
      </c>
    </row>
    <row r="477" spans="1:4" x14ac:dyDescent="0.25">
      <c r="A477" s="324" t="s">
        <v>1310</v>
      </c>
      <c r="B477" s="312" t="s">
        <v>1311</v>
      </c>
      <c r="C477" s="311" t="s">
        <v>198</v>
      </c>
      <c r="D477" s="327">
        <v>299.303</v>
      </c>
    </row>
    <row r="478" spans="1:4" x14ac:dyDescent="0.25">
      <c r="A478" s="324" t="s">
        <v>1312</v>
      </c>
      <c r="B478" s="312" t="s">
        <v>1313</v>
      </c>
      <c r="C478" s="311" t="s">
        <v>405</v>
      </c>
      <c r="D478" s="327">
        <v>320.01</v>
      </c>
    </row>
    <row r="479" spans="1:4" x14ac:dyDescent="0.25">
      <c r="A479" s="324" t="s">
        <v>1317</v>
      </c>
      <c r="B479" s="312" t="s">
        <v>1318</v>
      </c>
      <c r="C479" s="311" t="s">
        <v>198</v>
      </c>
      <c r="D479" s="327">
        <v>6.7389999999999999</v>
      </c>
    </row>
    <row r="480" spans="1:4" x14ac:dyDescent="0.25">
      <c r="A480" s="324" t="s">
        <v>1319</v>
      </c>
      <c r="B480" s="312" t="s">
        <v>1320</v>
      </c>
      <c r="C480" s="311" t="s">
        <v>198</v>
      </c>
      <c r="D480" s="327">
        <v>63.737000000000002</v>
      </c>
    </row>
    <row r="481" spans="1:4" x14ac:dyDescent="0.25">
      <c r="A481" s="324" t="s">
        <v>1323</v>
      </c>
      <c r="B481" s="312" t="s">
        <v>1324</v>
      </c>
      <c r="C481" s="311" t="s">
        <v>273</v>
      </c>
      <c r="D481" s="327">
        <v>2.004</v>
      </c>
    </row>
    <row r="482" spans="1:4" x14ac:dyDescent="0.25">
      <c r="A482" s="325" t="s">
        <v>1327</v>
      </c>
      <c r="B482" s="312" t="s">
        <v>2581</v>
      </c>
      <c r="C482" s="314" t="s">
        <v>198</v>
      </c>
      <c r="D482" s="327">
        <v>29.212</v>
      </c>
    </row>
    <row r="483" spans="1:4" x14ac:dyDescent="0.25">
      <c r="A483" s="324" t="s">
        <v>1329</v>
      </c>
      <c r="B483" s="312" t="s">
        <v>1819</v>
      </c>
      <c r="C483" s="311" t="s">
        <v>199</v>
      </c>
      <c r="D483" s="327">
        <v>89.510999999999996</v>
      </c>
    </row>
    <row r="484" spans="1:4" x14ac:dyDescent="0.25">
      <c r="A484" s="324" t="s">
        <v>1333</v>
      </c>
      <c r="B484" s="312" t="s">
        <v>1334</v>
      </c>
      <c r="C484" s="311" t="s">
        <v>442</v>
      </c>
      <c r="D484" s="327">
        <v>1114.163</v>
      </c>
    </row>
    <row r="485" spans="1:4" x14ac:dyDescent="0.25">
      <c r="A485" s="324" t="s">
        <v>1335</v>
      </c>
      <c r="B485" s="312" t="s">
        <v>1336</v>
      </c>
      <c r="C485" s="311" t="s">
        <v>198</v>
      </c>
      <c r="D485" s="327">
        <v>2.9849999999999999</v>
      </c>
    </row>
    <row r="486" spans="1:4" x14ac:dyDescent="0.25">
      <c r="A486" s="324" t="s">
        <v>1337</v>
      </c>
      <c r="B486" s="312" t="s">
        <v>2582</v>
      </c>
      <c r="C486" s="311" t="s">
        <v>198</v>
      </c>
      <c r="D486" s="327">
        <v>6.49</v>
      </c>
    </row>
    <row r="487" spans="1:4" x14ac:dyDescent="0.25">
      <c r="A487" s="324" t="s">
        <v>1339</v>
      </c>
      <c r="B487" s="312" t="s">
        <v>2583</v>
      </c>
      <c r="C487" s="311" t="s">
        <v>198</v>
      </c>
      <c r="D487" s="327">
        <v>2320.1889999999999</v>
      </c>
    </row>
    <row r="488" spans="1:4" x14ac:dyDescent="0.25">
      <c r="A488" s="324" t="s">
        <v>1341</v>
      </c>
      <c r="B488" s="312" t="s">
        <v>1342</v>
      </c>
      <c r="C488" s="311" t="s">
        <v>199</v>
      </c>
      <c r="D488" s="327">
        <v>11.004</v>
      </c>
    </row>
    <row r="489" spans="1:4" x14ac:dyDescent="0.25">
      <c r="A489" s="324" t="s">
        <v>1343</v>
      </c>
      <c r="B489" s="312" t="s">
        <v>2584</v>
      </c>
      <c r="C489" s="311" t="s">
        <v>553</v>
      </c>
      <c r="D489" s="327">
        <v>93.581000000000003</v>
      </c>
    </row>
    <row r="490" spans="1:4" x14ac:dyDescent="0.25">
      <c r="A490" s="325" t="s">
        <v>1345</v>
      </c>
      <c r="B490" s="312" t="s">
        <v>1346</v>
      </c>
      <c r="C490" s="314" t="s">
        <v>198</v>
      </c>
      <c r="D490" s="327">
        <v>8.2100000000000009</v>
      </c>
    </row>
    <row r="491" spans="1:4" x14ac:dyDescent="0.25">
      <c r="A491" s="324" t="s">
        <v>1347</v>
      </c>
      <c r="B491" s="312" t="s">
        <v>1348</v>
      </c>
      <c r="C491" s="311" t="s">
        <v>522</v>
      </c>
      <c r="D491" s="327">
        <v>10.907999999999999</v>
      </c>
    </row>
    <row r="492" spans="1:4" x14ac:dyDescent="0.25">
      <c r="A492" s="324" t="s">
        <v>1349</v>
      </c>
      <c r="B492" s="312" t="s">
        <v>1350</v>
      </c>
      <c r="C492" s="311" t="s">
        <v>951</v>
      </c>
      <c r="D492" s="327">
        <v>54.54</v>
      </c>
    </row>
    <row r="493" spans="1:4" x14ac:dyDescent="0.25">
      <c r="A493" s="324" t="s">
        <v>1351</v>
      </c>
      <c r="B493" s="312" t="s">
        <v>1352</v>
      </c>
      <c r="C493" s="311" t="s">
        <v>1353</v>
      </c>
      <c r="D493" s="327">
        <v>22.484999999999999</v>
      </c>
    </row>
    <row r="494" spans="1:4" x14ac:dyDescent="0.25">
      <c r="A494" s="324" t="s">
        <v>1354</v>
      </c>
      <c r="B494" s="312" t="s">
        <v>1355</v>
      </c>
      <c r="C494" s="311" t="s">
        <v>522</v>
      </c>
      <c r="D494" s="327">
        <v>53.438000000000002</v>
      </c>
    </row>
    <row r="495" spans="1:4" x14ac:dyDescent="0.25">
      <c r="A495" s="326" t="s">
        <v>1356</v>
      </c>
      <c r="B495" s="312" t="s">
        <v>1357</v>
      </c>
      <c r="C495" s="311" t="s">
        <v>198</v>
      </c>
      <c r="D495" s="327">
        <v>0.82299999999999995</v>
      </c>
    </row>
    <row r="496" spans="1:4" x14ac:dyDescent="0.25">
      <c r="A496" s="326" t="s">
        <v>1358</v>
      </c>
      <c r="B496" s="312" t="s">
        <v>1359</v>
      </c>
      <c r="C496" s="311" t="s">
        <v>198</v>
      </c>
      <c r="D496" s="327">
        <v>0.82299999999999995</v>
      </c>
    </row>
    <row r="497" spans="1:4" x14ac:dyDescent="0.25">
      <c r="A497" s="324" t="s">
        <v>1360</v>
      </c>
      <c r="B497" s="312" t="s">
        <v>1361</v>
      </c>
      <c r="C497" s="311" t="s">
        <v>198</v>
      </c>
      <c r="D497" s="327">
        <v>2.9000000000000001E-2</v>
      </c>
    </row>
    <row r="498" spans="1:4" x14ac:dyDescent="0.25">
      <c r="A498" s="324" t="s">
        <v>1362</v>
      </c>
      <c r="B498" s="312" t="s">
        <v>2585</v>
      </c>
      <c r="C498" s="311" t="s">
        <v>209</v>
      </c>
      <c r="D498" s="327">
        <v>0.25600000000000001</v>
      </c>
    </row>
    <row r="499" spans="1:4" x14ac:dyDescent="0.25">
      <c r="A499" s="324" t="s">
        <v>1364</v>
      </c>
      <c r="B499" s="312" t="s">
        <v>1365</v>
      </c>
      <c r="C499" s="311" t="s">
        <v>200</v>
      </c>
      <c r="D499" s="327">
        <v>4.4999999999999998E-2</v>
      </c>
    </row>
    <row r="500" spans="1:4" x14ac:dyDescent="0.25">
      <c r="A500" s="324" t="s">
        <v>1366</v>
      </c>
      <c r="B500" s="312" t="s">
        <v>1367</v>
      </c>
      <c r="C500" s="311" t="s">
        <v>198</v>
      </c>
      <c r="D500" s="327">
        <v>1.3</v>
      </c>
    </row>
    <row r="501" spans="1:4" x14ac:dyDescent="0.25">
      <c r="A501" s="324" t="s">
        <v>1368</v>
      </c>
      <c r="B501" s="312" t="s">
        <v>1369</v>
      </c>
      <c r="C501" s="311" t="s">
        <v>1134</v>
      </c>
      <c r="D501" s="327">
        <v>1.6379999999999997</v>
      </c>
    </row>
    <row r="502" spans="1:4" x14ac:dyDescent="0.25">
      <c r="A502" s="324" t="s">
        <v>1370</v>
      </c>
      <c r="B502" s="312" t="s">
        <v>2586</v>
      </c>
      <c r="C502" s="311" t="s">
        <v>848</v>
      </c>
      <c r="D502" s="327">
        <v>3.1E-2</v>
      </c>
    </row>
    <row r="503" spans="1:4" x14ac:dyDescent="0.25">
      <c r="A503" s="324" t="s">
        <v>1913</v>
      </c>
      <c r="B503" s="312" t="s">
        <v>2459</v>
      </c>
      <c r="C503" s="311" t="s">
        <v>257</v>
      </c>
      <c r="D503" s="327">
        <v>111.52200000000001</v>
      </c>
    </row>
    <row r="504" spans="1:4" x14ac:dyDescent="0.25">
      <c r="A504" s="324" t="s">
        <v>1372</v>
      </c>
      <c r="B504" s="311" t="s">
        <v>1373</v>
      </c>
      <c r="C504" s="313" t="s">
        <v>214</v>
      </c>
      <c r="D504" s="327">
        <v>13.0245</v>
      </c>
    </row>
    <row r="505" spans="1:4" x14ac:dyDescent="0.25">
      <c r="A505" s="324" t="s">
        <v>2417</v>
      </c>
      <c r="B505" s="312" t="s">
        <v>2418</v>
      </c>
      <c r="C505" s="311" t="s">
        <v>216</v>
      </c>
      <c r="D505" s="327">
        <v>15.82985</v>
      </c>
    </row>
    <row r="506" spans="1:4" x14ac:dyDescent="0.25">
      <c r="A506" s="324" t="s">
        <v>2587</v>
      </c>
      <c r="B506" s="312" t="s">
        <v>2588</v>
      </c>
      <c r="C506" s="311" t="s">
        <v>216</v>
      </c>
      <c r="D506" s="327">
        <v>12.044</v>
      </c>
    </row>
    <row r="507" spans="1:4" x14ac:dyDescent="0.25">
      <c r="A507" s="324" t="s">
        <v>1374</v>
      </c>
      <c r="B507" s="312" t="s">
        <v>2589</v>
      </c>
      <c r="C507" s="311" t="s">
        <v>1376</v>
      </c>
      <c r="D507" s="327">
        <v>36413.474000000002</v>
      </c>
    </row>
    <row r="508" spans="1:4" x14ac:dyDescent="0.25">
      <c r="A508" s="324" t="s">
        <v>191</v>
      </c>
      <c r="B508" s="312" t="s">
        <v>1377</v>
      </c>
      <c r="C508" s="311" t="s">
        <v>199</v>
      </c>
      <c r="D508" s="327">
        <v>431.51799999999997</v>
      </c>
    </row>
    <row r="509" spans="1:4" x14ac:dyDescent="0.25">
      <c r="A509" s="324" t="s">
        <v>1378</v>
      </c>
      <c r="B509" s="312" t="s">
        <v>1379</v>
      </c>
      <c r="C509" s="311" t="s">
        <v>452</v>
      </c>
      <c r="D509" s="327">
        <v>41.793999999999997</v>
      </c>
    </row>
    <row r="510" spans="1:4" x14ac:dyDescent="0.25">
      <c r="A510" s="324" t="s">
        <v>1380</v>
      </c>
      <c r="B510" s="312" t="s">
        <v>1381</v>
      </c>
      <c r="C510" s="316" t="s">
        <v>1382</v>
      </c>
      <c r="D510" s="327">
        <v>111.586</v>
      </c>
    </row>
    <row r="511" spans="1:4" x14ac:dyDescent="0.25">
      <c r="A511" s="324" t="s">
        <v>1383</v>
      </c>
      <c r="B511" s="312" t="s">
        <v>2590</v>
      </c>
      <c r="C511" s="311" t="s">
        <v>360</v>
      </c>
      <c r="D511" s="327">
        <v>1.2330000000000001</v>
      </c>
    </row>
    <row r="512" spans="1:4" x14ac:dyDescent="0.25">
      <c r="A512" s="324" t="s">
        <v>1385</v>
      </c>
      <c r="B512" s="312" t="s">
        <v>2591</v>
      </c>
      <c r="C512" s="311" t="s">
        <v>1042</v>
      </c>
      <c r="D512" s="327">
        <v>31.207000000000001</v>
      </c>
    </row>
    <row r="513" spans="1:4" x14ac:dyDescent="0.25">
      <c r="A513" s="324" t="s">
        <v>1387</v>
      </c>
      <c r="B513" s="312" t="s">
        <v>2592</v>
      </c>
      <c r="C513" s="311" t="s">
        <v>1042</v>
      </c>
      <c r="D513" s="327">
        <v>10.676</v>
      </c>
    </row>
    <row r="514" spans="1:4" x14ac:dyDescent="0.25">
      <c r="A514" s="324" t="s">
        <v>2285</v>
      </c>
      <c r="B514" s="312" t="s">
        <v>2593</v>
      </c>
      <c r="C514" s="318" t="s">
        <v>1042</v>
      </c>
      <c r="D514" s="327">
        <v>32.362000000000002</v>
      </c>
    </row>
    <row r="515" spans="1:4" x14ac:dyDescent="0.25">
      <c r="A515" s="324" t="s">
        <v>2287</v>
      </c>
      <c r="B515" s="312" t="s">
        <v>2594</v>
      </c>
      <c r="C515" s="311" t="s">
        <v>1042</v>
      </c>
      <c r="D515" s="327">
        <v>21.585000000000001</v>
      </c>
    </row>
    <row r="516" spans="1:4" x14ac:dyDescent="0.25">
      <c r="A516" s="324" t="s">
        <v>1389</v>
      </c>
      <c r="B516" s="312" t="s">
        <v>2595</v>
      </c>
      <c r="C516" s="311" t="s">
        <v>1042</v>
      </c>
      <c r="D516" s="327">
        <v>32.857999999999997</v>
      </c>
    </row>
    <row r="517" spans="1:4" x14ac:dyDescent="0.25">
      <c r="A517" s="324" t="s">
        <v>1391</v>
      </c>
      <c r="B517" s="312" t="s">
        <v>2596</v>
      </c>
      <c r="C517" s="311" t="s">
        <v>1042</v>
      </c>
      <c r="D517" s="327">
        <v>98.974999999999994</v>
      </c>
    </row>
    <row r="518" spans="1:4" x14ac:dyDescent="0.25">
      <c r="A518" s="324" t="s">
        <v>2289</v>
      </c>
      <c r="B518" s="312" t="s">
        <v>2597</v>
      </c>
      <c r="C518" s="311" t="s">
        <v>1042</v>
      </c>
      <c r="D518" s="327">
        <v>35.627000000000002</v>
      </c>
    </row>
    <row r="519" spans="1:4" x14ac:dyDescent="0.25">
      <c r="A519" s="324" t="s">
        <v>1393</v>
      </c>
      <c r="B519" s="312" t="s">
        <v>2598</v>
      </c>
      <c r="C519" s="311" t="s">
        <v>1042</v>
      </c>
      <c r="D519" s="327">
        <v>37.590000000000003</v>
      </c>
    </row>
    <row r="520" spans="1:4" x14ac:dyDescent="0.25">
      <c r="A520" s="324" t="s">
        <v>1395</v>
      </c>
      <c r="B520" s="312" t="s">
        <v>2599</v>
      </c>
      <c r="C520" s="311" t="s">
        <v>1042</v>
      </c>
      <c r="D520" s="327">
        <v>6.9169999999999998</v>
      </c>
    </row>
    <row r="521" spans="1:4" x14ac:dyDescent="0.25">
      <c r="A521" s="324" t="s">
        <v>1397</v>
      </c>
      <c r="B521" s="312" t="s">
        <v>2600</v>
      </c>
      <c r="C521" s="311" t="s">
        <v>574</v>
      </c>
      <c r="D521" s="327">
        <v>223.732</v>
      </c>
    </row>
    <row r="522" spans="1:4" x14ac:dyDescent="0.25">
      <c r="A522" s="324" t="s">
        <v>1399</v>
      </c>
      <c r="B522" s="312" t="s">
        <v>2601</v>
      </c>
      <c r="C522" s="311" t="s">
        <v>574</v>
      </c>
      <c r="D522" s="327">
        <v>223.732</v>
      </c>
    </row>
    <row r="523" spans="1:4" x14ac:dyDescent="0.25">
      <c r="A523" s="324" t="s">
        <v>2291</v>
      </c>
      <c r="B523" s="312" t="s">
        <v>2292</v>
      </c>
      <c r="C523" s="311" t="s">
        <v>574</v>
      </c>
      <c r="D523" s="327">
        <v>1577.7</v>
      </c>
    </row>
    <row r="524" spans="1:4" x14ac:dyDescent="0.25">
      <c r="A524" s="324" t="s">
        <v>1401</v>
      </c>
      <c r="B524" s="312" t="s">
        <v>1402</v>
      </c>
      <c r="C524" s="313" t="s">
        <v>1042</v>
      </c>
      <c r="D524" s="327">
        <v>9.5660000000000007</v>
      </c>
    </row>
    <row r="525" spans="1:4" x14ac:dyDescent="0.25">
      <c r="A525" s="324" t="s">
        <v>2419</v>
      </c>
      <c r="B525" s="312" t="s">
        <v>2602</v>
      </c>
      <c r="C525" s="311" t="s">
        <v>1042</v>
      </c>
      <c r="D525" s="327">
        <v>32.564</v>
      </c>
    </row>
    <row r="526" spans="1:4" x14ac:dyDescent="0.25">
      <c r="A526" s="324" t="s">
        <v>1403</v>
      </c>
      <c r="B526" s="312" t="s">
        <v>1404</v>
      </c>
      <c r="C526" s="313" t="s">
        <v>1042</v>
      </c>
      <c r="D526" s="327">
        <v>38.473999999999997</v>
      </c>
    </row>
    <row r="527" spans="1:4" x14ac:dyDescent="0.25">
      <c r="A527" s="324" t="s">
        <v>2297</v>
      </c>
      <c r="B527" s="312" t="s">
        <v>2603</v>
      </c>
      <c r="C527" s="313" t="s">
        <v>1042</v>
      </c>
      <c r="D527" s="327">
        <v>22.248000000000001</v>
      </c>
    </row>
    <row r="528" spans="1:4" x14ac:dyDescent="0.25">
      <c r="A528" s="324" t="s">
        <v>2421</v>
      </c>
      <c r="B528" s="312" t="s">
        <v>2604</v>
      </c>
      <c r="C528" s="313" t="s">
        <v>1042</v>
      </c>
      <c r="D528" s="327">
        <v>187.529</v>
      </c>
    </row>
    <row r="529" spans="1:4" x14ac:dyDescent="0.25">
      <c r="A529" s="324" t="s">
        <v>1429</v>
      </c>
      <c r="B529" s="312" t="s">
        <v>2605</v>
      </c>
      <c r="C529" s="319" t="s">
        <v>452</v>
      </c>
      <c r="D529" s="327">
        <v>0.9694141666666668</v>
      </c>
    </row>
    <row r="530" spans="1:4" x14ac:dyDescent="0.25">
      <c r="A530" s="325" t="s">
        <v>1445</v>
      </c>
      <c r="B530" s="312" t="s">
        <v>1446</v>
      </c>
      <c r="C530" s="314" t="s">
        <v>204</v>
      </c>
      <c r="D530" s="327">
        <v>33.059999999999995</v>
      </c>
    </row>
    <row r="531" spans="1:4" x14ac:dyDescent="0.25">
      <c r="A531" s="324" t="s">
        <v>1447</v>
      </c>
      <c r="B531" s="312" t="s">
        <v>1448</v>
      </c>
      <c r="C531" s="311" t="s">
        <v>204</v>
      </c>
      <c r="D531" s="327">
        <v>34.912999999999997</v>
      </c>
    </row>
    <row r="532" spans="1:4" x14ac:dyDescent="0.25">
      <c r="A532" s="324" t="s">
        <v>1449</v>
      </c>
      <c r="B532" s="312" t="s">
        <v>1450</v>
      </c>
      <c r="C532" s="311" t="s">
        <v>204</v>
      </c>
      <c r="D532" s="327">
        <v>52.369</v>
      </c>
    </row>
    <row r="533" spans="1:4" x14ac:dyDescent="0.25">
      <c r="A533" s="324" t="s">
        <v>1451</v>
      </c>
      <c r="B533" s="312" t="s">
        <v>2606</v>
      </c>
      <c r="C533" s="311" t="s">
        <v>204</v>
      </c>
      <c r="D533" s="327">
        <v>7.8E-2</v>
      </c>
    </row>
    <row r="534" spans="1:4" x14ac:dyDescent="0.25">
      <c r="A534" s="324" t="s">
        <v>1610</v>
      </c>
      <c r="B534" s="312" t="s">
        <v>2607</v>
      </c>
      <c r="C534" s="311" t="s">
        <v>204</v>
      </c>
      <c r="D534" s="327">
        <v>0.192</v>
      </c>
    </row>
    <row r="535" spans="1:4" x14ac:dyDescent="0.25">
      <c r="A535" s="324" t="s">
        <v>1612</v>
      </c>
      <c r="B535" s="312" t="s">
        <v>2608</v>
      </c>
      <c r="C535" s="311" t="s">
        <v>204</v>
      </c>
      <c r="D535" s="327">
        <v>0.20399999999999999</v>
      </c>
    </row>
    <row r="536" spans="1:4" x14ac:dyDescent="0.25">
      <c r="A536" s="324" t="s">
        <v>1453</v>
      </c>
      <c r="B536" s="312" t="s">
        <v>2609</v>
      </c>
      <c r="C536" s="311" t="s">
        <v>204</v>
      </c>
      <c r="D536" s="327">
        <v>0.189</v>
      </c>
    </row>
    <row r="537" spans="1:4" x14ac:dyDescent="0.25">
      <c r="A537" s="324" t="s">
        <v>1455</v>
      </c>
      <c r="B537" s="312" t="s">
        <v>2610</v>
      </c>
      <c r="C537" s="311" t="s">
        <v>204</v>
      </c>
      <c r="D537" s="327">
        <v>0.877</v>
      </c>
    </row>
    <row r="538" spans="1:4" x14ac:dyDescent="0.25">
      <c r="A538" s="324" t="s">
        <v>1457</v>
      </c>
      <c r="B538" s="312" t="s">
        <v>2611</v>
      </c>
      <c r="C538" s="311" t="s">
        <v>204</v>
      </c>
      <c r="D538" s="327">
        <v>0.17599999999999999</v>
      </c>
    </row>
    <row r="539" spans="1:4" x14ac:dyDescent="0.25">
      <c r="A539" s="333" t="s">
        <v>1459</v>
      </c>
      <c r="B539" s="334" t="s">
        <v>2612</v>
      </c>
      <c r="C539" s="335" t="s">
        <v>204</v>
      </c>
      <c r="D539" s="336">
        <v>0.13</v>
      </c>
    </row>
  </sheetData>
  <printOptions gridLines="1"/>
  <pageMargins left="0.5" right="0.2" top="0.5" bottom="0.5" header="0.2" footer="0.2"/>
  <pageSetup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5FCF8-C818-4242-89FE-2F741835AD72}">
  <dimension ref="A1:E540"/>
  <sheetViews>
    <sheetView workbookViewId="0">
      <pane ySplit="1" topLeftCell="A377" activePane="bottomLeft" state="frozen"/>
      <selection pane="bottomLeft" activeCell="B414" sqref="B414"/>
    </sheetView>
  </sheetViews>
  <sheetFormatPr defaultColWidth="9.21875" defaultRowHeight="13.2" x14ac:dyDescent="0.25"/>
  <cols>
    <col min="1" max="1" width="14.44140625" style="320" customWidth="1"/>
    <col min="2" max="2" width="34.44140625" style="321" customWidth="1"/>
    <col min="3" max="3" width="21.44140625" style="320" customWidth="1"/>
    <col min="4" max="4" width="15.5546875" style="322" customWidth="1"/>
    <col min="5" max="247" width="9.21875" style="310"/>
    <col min="248" max="248" width="13" style="310" customWidth="1"/>
    <col min="249" max="249" width="34.44140625" style="310" customWidth="1"/>
    <col min="250" max="250" width="20.21875" style="310" customWidth="1"/>
    <col min="251" max="251" width="14.77734375" style="310" customWidth="1"/>
    <col min="252" max="252" width="8.5546875" style="310" customWidth="1"/>
    <col min="253" max="253" width="13" style="310" customWidth="1"/>
    <col min="254" max="254" width="8.21875" style="310" customWidth="1"/>
    <col min="255" max="255" width="13.44140625" style="310" customWidth="1"/>
    <col min="256" max="256" width="9.5546875" style="310" customWidth="1"/>
    <col min="257" max="257" width="11.77734375" style="310" customWidth="1"/>
    <col min="258" max="258" width="10.5546875" style="310" customWidth="1"/>
    <col min="259" max="259" width="42.5546875" style="310" customWidth="1"/>
    <col min="260" max="503" width="9.21875" style="310"/>
    <col min="504" max="504" width="13" style="310" customWidth="1"/>
    <col min="505" max="505" width="34.44140625" style="310" customWidth="1"/>
    <col min="506" max="506" width="20.21875" style="310" customWidth="1"/>
    <col min="507" max="507" width="14.77734375" style="310" customWidth="1"/>
    <col min="508" max="508" width="8.5546875" style="310" customWidth="1"/>
    <col min="509" max="509" width="13" style="310" customWidth="1"/>
    <col min="510" max="510" width="8.21875" style="310" customWidth="1"/>
    <col min="511" max="511" width="13.44140625" style="310" customWidth="1"/>
    <col min="512" max="512" width="9.5546875" style="310" customWidth="1"/>
    <col min="513" max="513" width="11.77734375" style="310" customWidth="1"/>
    <col min="514" max="514" width="10.5546875" style="310" customWidth="1"/>
    <col min="515" max="515" width="42.5546875" style="310" customWidth="1"/>
    <col min="516" max="759" width="9.21875" style="310"/>
    <col min="760" max="760" width="13" style="310" customWidth="1"/>
    <col min="761" max="761" width="34.44140625" style="310" customWidth="1"/>
    <col min="762" max="762" width="20.21875" style="310" customWidth="1"/>
    <col min="763" max="763" width="14.77734375" style="310" customWidth="1"/>
    <col min="764" max="764" width="8.5546875" style="310" customWidth="1"/>
    <col min="765" max="765" width="13" style="310" customWidth="1"/>
    <col min="766" max="766" width="8.21875" style="310" customWidth="1"/>
    <col min="767" max="767" width="13.44140625" style="310" customWidth="1"/>
    <col min="768" max="768" width="9.5546875" style="310" customWidth="1"/>
    <col min="769" max="769" width="11.77734375" style="310" customWidth="1"/>
    <col min="770" max="770" width="10.5546875" style="310" customWidth="1"/>
    <col min="771" max="771" width="42.5546875" style="310" customWidth="1"/>
    <col min="772" max="1015" width="9.21875" style="310"/>
    <col min="1016" max="1016" width="13" style="310" customWidth="1"/>
    <col min="1017" max="1017" width="34.44140625" style="310" customWidth="1"/>
    <col min="1018" max="1018" width="20.21875" style="310" customWidth="1"/>
    <col min="1019" max="1019" width="14.77734375" style="310" customWidth="1"/>
    <col min="1020" max="1020" width="8.5546875" style="310" customWidth="1"/>
    <col min="1021" max="1021" width="13" style="310" customWidth="1"/>
    <col min="1022" max="1022" width="8.21875" style="310" customWidth="1"/>
    <col min="1023" max="1023" width="13.44140625" style="310" customWidth="1"/>
    <col min="1024" max="1024" width="9.5546875" style="310" customWidth="1"/>
    <col min="1025" max="1025" width="11.77734375" style="310" customWidth="1"/>
    <col min="1026" max="1026" width="10.5546875" style="310" customWidth="1"/>
    <col min="1027" max="1027" width="42.5546875" style="310" customWidth="1"/>
    <col min="1028" max="1271" width="9.21875" style="310"/>
    <col min="1272" max="1272" width="13" style="310" customWidth="1"/>
    <col min="1273" max="1273" width="34.44140625" style="310" customWidth="1"/>
    <col min="1274" max="1274" width="20.21875" style="310" customWidth="1"/>
    <col min="1275" max="1275" width="14.77734375" style="310" customWidth="1"/>
    <col min="1276" max="1276" width="8.5546875" style="310" customWidth="1"/>
    <col min="1277" max="1277" width="13" style="310" customWidth="1"/>
    <col min="1278" max="1278" width="8.21875" style="310" customWidth="1"/>
    <col min="1279" max="1279" width="13.44140625" style="310" customWidth="1"/>
    <col min="1280" max="1280" width="9.5546875" style="310" customWidth="1"/>
    <col min="1281" max="1281" width="11.77734375" style="310" customWidth="1"/>
    <col min="1282" max="1282" width="10.5546875" style="310" customWidth="1"/>
    <col min="1283" max="1283" width="42.5546875" style="310" customWidth="1"/>
    <col min="1284" max="1527" width="9.21875" style="310"/>
    <col min="1528" max="1528" width="13" style="310" customWidth="1"/>
    <col min="1529" max="1529" width="34.44140625" style="310" customWidth="1"/>
    <col min="1530" max="1530" width="20.21875" style="310" customWidth="1"/>
    <col min="1531" max="1531" width="14.77734375" style="310" customWidth="1"/>
    <col min="1532" max="1532" width="8.5546875" style="310" customWidth="1"/>
    <col min="1533" max="1533" width="13" style="310" customWidth="1"/>
    <col min="1534" max="1534" width="8.21875" style="310" customWidth="1"/>
    <col min="1535" max="1535" width="13.44140625" style="310" customWidth="1"/>
    <col min="1536" max="1536" width="9.5546875" style="310" customWidth="1"/>
    <col min="1537" max="1537" width="11.77734375" style="310" customWidth="1"/>
    <col min="1538" max="1538" width="10.5546875" style="310" customWidth="1"/>
    <col min="1539" max="1539" width="42.5546875" style="310" customWidth="1"/>
    <col min="1540" max="1783" width="9.21875" style="310"/>
    <col min="1784" max="1784" width="13" style="310" customWidth="1"/>
    <col min="1785" max="1785" width="34.44140625" style="310" customWidth="1"/>
    <col min="1786" max="1786" width="20.21875" style="310" customWidth="1"/>
    <col min="1787" max="1787" width="14.77734375" style="310" customWidth="1"/>
    <col min="1788" max="1788" width="8.5546875" style="310" customWidth="1"/>
    <col min="1789" max="1789" width="13" style="310" customWidth="1"/>
    <col min="1790" max="1790" width="8.21875" style="310" customWidth="1"/>
    <col min="1791" max="1791" width="13.44140625" style="310" customWidth="1"/>
    <col min="1792" max="1792" width="9.5546875" style="310" customWidth="1"/>
    <col min="1793" max="1793" width="11.77734375" style="310" customWidth="1"/>
    <col min="1794" max="1794" width="10.5546875" style="310" customWidth="1"/>
    <col min="1795" max="1795" width="42.5546875" style="310" customWidth="1"/>
    <col min="1796" max="2039" width="9.21875" style="310"/>
    <col min="2040" max="2040" width="13" style="310" customWidth="1"/>
    <col min="2041" max="2041" width="34.44140625" style="310" customWidth="1"/>
    <col min="2042" max="2042" width="20.21875" style="310" customWidth="1"/>
    <col min="2043" max="2043" width="14.77734375" style="310" customWidth="1"/>
    <col min="2044" max="2044" width="8.5546875" style="310" customWidth="1"/>
    <col min="2045" max="2045" width="13" style="310" customWidth="1"/>
    <col min="2046" max="2046" width="8.21875" style="310" customWidth="1"/>
    <col min="2047" max="2047" width="13.44140625" style="310" customWidth="1"/>
    <col min="2048" max="2048" width="9.5546875" style="310" customWidth="1"/>
    <col min="2049" max="2049" width="11.77734375" style="310" customWidth="1"/>
    <col min="2050" max="2050" width="10.5546875" style="310" customWidth="1"/>
    <col min="2051" max="2051" width="42.5546875" style="310" customWidth="1"/>
    <col min="2052" max="2295" width="9.21875" style="310"/>
    <col min="2296" max="2296" width="13" style="310" customWidth="1"/>
    <col min="2297" max="2297" width="34.44140625" style="310" customWidth="1"/>
    <col min="2298" max="2298" width="20.21875" style="310" customWidth="1"/>
    <col min="2299" max="2299" width="14.77734375" style="310" customWidth="1"/>
    <col min="2300" max="2300" width="8.5546875" style="310" customWidth="1"/>
    <col min="2301" max="2301" width="13" style="310" customWidth="1"/>
    <col min="2302" max="2302" width="8.21875" style="310" customWidth="1"/>
    <col min="2303" max="2303" width="13.44140625" style="310" customWidth="1"/>
    <col min="2304" max="2304" width="9.5546875" style="310" customWidth="1"/>
    <col min="2305" max="2305" width="11.77734375" style="310" customWidth="1"/>
    <col min="2306" max="2306" width="10.5546875" style="310" customWidth="1"/>
    <col min="2307" max="2307" width="42.5546875" style="310" customWidth="1"/>
    <col min="2308" max="2551" width="9.21875" style="310"/>
    <col min="2552" max="2552" width="13" style="310" customWidth="1"/>
    <col min="2553" max="2553" width="34.44140625" style="310" customWidth="1"/>
    <col min="2554" max="2554" width="20.21875" style="310" customWidth="1"/>
    <col min="2555" max="2555" width="14.77734375" style="310" customWidth="1"/>
    <col min="2556" max="2556" width="8.5546875" style="310" customWidth="1"/>
    <col min="2557" max="2557" width="13" style="310" customWidth="1"/>
    <col min="2558" max="2558" width="8.21875" style="310" customWidth="1"/>
    <col min="2559" max="2559" width="13.44140625" style="310" customWidth="1"/>
    <col min="2560" max="2560" width="9.5546875" style="310" customWidth="1"/>
    <col min="2561" max="2561" width="11.77734375" style="310" customWidth="1"/>
    <col min="2562" max="2562" width="10.5546875" style="310" customWidth="1"/>
    <col min="2563" max="2563" width="42.5546875" style="310" customWidth="1"/>
    <col min="2564" max="2807" width="9.21875" style="310"/>
    <col min="2808" max="2808" width="13" style="310" customWidth="1"/>
    <col min="2809" max="2809" width="34.44140625" style="310" customWidth="1"/>
    <col min="2810" max="2810" width="20.21875" style="310" customWidth="1"/>
    <col min="2811" max="2811" width="14.77734375" style="310" customWidth="1"/>
    <col min="2812" max="2812" width="8.5546875" style="310" customWidth="1"/>
    <col min="2813" max="2813" width="13" style="310" customWidth="1"/>
    <col min="2814" max="2814" width="8.21875" style="310" customWidth="1"/>
    <col min="2815" max="2815" width="13.44140625" style="310" customWidth="1"/>
    <col min="2816" max="2816" width="9.5546875" style="310" customWidth="1"/>
    <col min="2817" max="2817" width="11.77734375" style="310" customWidth="1"/>
    <col min="2818" max="2818" width="10.5546875" style="310" customWidth="1"/>
    <col min="2819" max="2819" width="42.5546875" style="310" customWidth="1"/>
    <col min="2820" max="3063" width="9.21875" style="310"/>
    <col min="3064" max="3064" width="13" style="310" customWidth="1"/>
    <col min="3065" max="3065" width="34.44140625" style="310" customWidth="1"/>
    <col min="3066" max="3066" width="20.21875" style="310" customWidth="1"/>
    <col min="3067" max="3067" width="14.77734375" style="310" customWidth="1"/>
    <col min="3068" max="3068" width="8.5546875" style="310" customWidth="1"/>
    <col min="3069" max="3069" width="13" style="310" customWidth="1"/>
    <col min="3070" max="3070" width="8.21875" style="310" customWidth="1"/>
    <col min="3071" max="3071" width="13.44140625" style="310" customWidth="1"/>
    <col min="3072" max="3072" width="9.5546875" style="310" customWidth="1"/>
    <col min="3073" max="3073" width="11.77734375" style="310" customWidth="1"/>
    <col min="3074" max="3074" width="10.5546875" style="310" customWidth="1"/>
    <col min="3075" max="3075" width="42.5546875" style="310" customWidth="1"/>
    <col min="3076" max="3319" width="9.21875" style="310"/>
    <col min="3320" max="3320" width="13" style="310" customWidth="1"/>
    <col min="3321" max="3321" width="34.44140625" style="310" customWidth="1"/>
    <col min="3322" max="3322" width="20.21875" style="310" customWidth="1"/>
    <col min="3323" max="3323" width="14.77734375" style="310" customWidth="1"/>
    <col min="3324" max="3324" width="8.5546875" style="310" customWidth="1"/>
    <col min="3325" max="3325" width="13" style="310" customWidth="1"/>
    <col min="3326" max="3326" width="8.21875" style="310" customWidth="1"/>
    <col min="3327" max="3327" width="13.44140625" style="310" customWidth="1"/>
    <col min="3328" max="3328" width="9.5546875" style="310" customWidth="1"/>
    <col min="3329" max="3329" width="11.77734375" style="310" customWidth="1"/>
    <col min="3330" max="3330" width="10.5546875" style="310" customWidth="1"/>
    <col min="3331" max="3331" width="42.5546875" style="310" customWidth="1"/>
    <col min="3332" max="3575" width="9.21875" style="310"/>
    <col min="3576" max="3576" width="13" style="310" customWidth="1"/>
    <col min="3577" max="3577" width="34.44140625" style="310" customWidth="1"/>
    <col min="3578" max="3578" width="20.21875" style="310" customWidth="1"/>
    <col min="3579" max="3579" width="14.77734375" style="310" customWidth="1"/>
    <col min="3580" max="3580" width="8.5546875" style="310" customWidth="1"/>
    <col min="3581" max="3581" width="13" style="310" customWidth="1"/>
    <col min="3582" max="3582" width="8.21875" style="310" customWidth="1"/>
    <col min="3583" max="3583" width="13.44140625" style="310" customWidth="1"/>
    <col min="3584" max="3584" width="9.5546875" style="310" customWidth="1"/>
    <col min="3585" max="3585" width="11.77734375" style="310" customWidth="1"/>
    <col min="3586" max="3586" width="10.5546875" style="310" customWidth="1"/>
    <col min="3587" max="3587" width="42.5546875" style="310" customWidth="1"/>
    <col min="3588" max="3831" width="9.21875" style="310"/>
    <col min="3832" max="3832" width="13" style="310" customWidth="1"/>
    <col min="3833" max="3833" width="34.44140625" style="310" customWidth="1"/>
    <col min="3834" max="3834" width="20.21875" style="310" customWidth="1"/>
    <col min="3835" max="3835" width="14.77734375" style="310" customWidth="1"/>
    <col min="3836" max="3836" width="8.5546875" style="310" customWidth="1"/>
    <col min="3837" max="3837" width="13" style="310" customWidth="1"/>
    <col min="3838" max="3838" width="8.21875" style="310" customWidth="1"/>
    <col min="3839" max="3839" width="13.44140625" style="310" customWidth="1"/>
    <col min="3840" max="3840" width="9.5546875" style="310" customWidth="1"/>
    <col min="3841" max="3841" width="11.77734375" style="310" customWidth="1"/>
    <col min="3842" max="3842" width="10.5546875" style="310" customWidth="1"/>
    <col min="3843" max="3843" width="42.5546875" style="310" customWidth="1"/>
    <col min="3844" max="4087" width="9.21875" style="310"/>
    <col min="4088" max="4088" width="13" style="310" customWidth="1"/>
    <col min="4089" max="4089" width="34.44140625" style="310" customWidth="1"/>
    <col min="4090" max="4090" width="20.21875" style="310" customWidth="1"/>
    <col min="4091" max="4091" width="14.77734375" style="310" customWidth="1"/>
    <col min="4092" max="4092" width="8.5546875" style="310" customWidth="1"/>
    <col min="4093" max="4093" width="13" style="310" customWidth="1"/>
    <col min="4094" max="4094" width="8.21875" style="310" customWidth="1"/>
    <col min="4095" max="4095" width="13.44140625" style="310" customWidth="1"/>
    <col min="4096" max="4096" width="9.5546875" style="310" customWidth="1"/>
    <col min="4097" max="4097" width="11.77734375" style="310" customWidth="1"/>
    <col min="4098" max="4098" width="10.5546875" style="310" customWidth="1"/>
    <col min="4099" max="4099" width="42.5546875" style="310" customWidth="1"/>
    <col min="4100" max="4343" width="9.21875" style="310"/>
    <col min="4344" max="4344" width="13" style="310" customWidth="1"/>
    <col min="4345" max="4345" width="34.44140625" style="310" customWidth="1"/>
    <col min="4346" max="4346" width="20.21875" style="310" customWidth="1"/>
    <col min="4347" max="4347" width="14.77734375" style="310" customWidth="1"/>
    <col min="4348" max="4348" width="8.5546875" style="310" customWidth="1"/>
    <col min="4349" max="4349" width="13" style="310" customWidth="1"/>
    <col min="4350" max="4350" width="8.21875" style="310" customWidth="1"/>
    <col min="4351" max="4351" width="13.44140625" style="310" customWidth="1"/>
    <col min="4352" max="4352" width="9.5546875" style="310" customWidth="1"/>
    <col min="4353" max="4353" width="11.77734375" style="310" customWidth="1"/>
    <col min="4354" max="4354" width="10.5546875" style="310" customWidth="1"/>
    <col min="4355" max="4355" width="42.5546875" style="310" customWidth="1"/>
    <col min="4356" max="4599" width="9.21875" style="310"/>
    <col min="4600" max="4600" width="13" style="310" customWidth="1"/>
    <col min="4601" max="4601" width="34.44140625" style="310" customWidth="1"/>
    <col min="4602" max="4602" width="20.21875" style="310" customWidth="1"/>
    <col min="4603" max="4603" width="14.77734375" style="310" customWidth="1"/>
    <col min="4604" max="4604" width="8.5546875" style="310" customWidth="1"/>
    <col min="4605" max="4605" width="13" style="310" customWidth="1"/>
    <col min="4606" max="4606" width="8.21875" style="310" customWidth="1"/>
    <col min="4607" max="4607" width="13.44140625" style="310" customWidth="1"/>
    <col min="4608" max="4608" width="9.5546875" style="310" customWidth="1"/>
    <col min="4609" max="4609" width="11.77734375" style="310" customWidth="1"/>
    <col min="4610" max="4610" width="10.5546875" style="310" customWidth="1"/>
    <col min="4611" max="4611" width="42.5546875" style="310" customWidth="1"/>
    <col min="4612" max="4855" width="9.21875" style="310"/>
    <col min="4856" max="4856" width="13" style="310" customWidth="1"/>
    <col min="4857" max="4857" width="34.44140625" style="310" customWidth="1"/>
    <col min="4858" max="4858" width="20.21875" style="310" customWidth="1"/>
    <col min="4859" max="4859" width="14.77734375" style="310" customWidth="1"/>
    <col min="4860" max="4860" width="8.5546875" style="310" customWidth="1"/>
    <col min="4861" max="4861" width="13" style="310" customWidth="1"/>
    <col min="4862" max="4862" width="8.21875" style="310" customWidth="1"/>
    <col min="4863" max="4863" width="13.44140625" style="310" customWidth="1"/>
    <col min="4864" max="4864" width="9.5546875" style="310" customWidth="1"/>
    <col min="4865" max="4865" width="11.77734375" style="310" customWidth="1"/>
    <col min="4866" max="4866" width="10.5546875" style="310" customWidth="1"/>
    <col min="4867" max="4867" width="42.5546875" style="310" customWidth="1"/>
    <col min="4868" max="5111" width="9.21875" style="310"/>
    <col min="5112" max="5112" width="13" style="310" customWidth="1"/>
    <col min="5113" max="5113" width="34.44140625" style="310" customWidth="1"/>
    <col min="5114" max="5114" width="20.21875" style="310" customWidth="1"/>
    <col min="5115" max="5115" width="14.77734375" style="310" customWidth="1"/>
    <col min="5116" max="5116" width="8.5546875" style="310" customWidth="1"/>
    <col min="5117" max="5117" width="13" style="310" customWidth="1"/>
    <col min="5118" max="5118" width="8.21875" style="310" customWidth="1"/>
    <col min="5119" max="5119" width="13.44140625" style="310" customWidth="1"/>
    <col min="5120" max="5120" width="9.5546875" style="310" customWidth="1"/>
    <col min="5121" max="5121" width="11.77734375" style="310" customWidth="1"/>
    <col min="5122" max="5122" width="10.5546875" style="310" customWidth="1"/>
    <col min="5123" max="5123" width="42.5546875" style="310" customWidth="1"/>
    <col min="5124" max="5367" width="9.21875" style="310"/>
    <col min="5368" max="5368" width="13" style="310" customWidth="1"/>
    <col min="5369" max="5369" width="34.44140625" style="310" customWidth="1"/>
    <col min="5370" max="5370" width="20.21875" style="310" customWidth="1"/>
    <col min="5371" max="5371" width="14.77734375" style="310" customWidth="1"/>
    <col min="5372" max="5372" width="8.5546875" style="310" customWidth="1"/>
    <col min="5373" max="5373" width="13" style="310" customWidth="1"/>
    <col min="5374" max="5374" width="8.21875" style="310" customWidth="1"/>
    <col min="5375" max="5375" width="13.44140625" style="310" customWidth="1"/>
    <col min="5376" max="5376" width="9.5546875" style="310" customWidth="1"/>
    <col min="5377" max="5377" width="11.77734375" style="310" customWidth="1"/>
    <col min="5378" max="5378" width="10.5546875" style="310" customWidth="1"/>
    <col min="5379" max="5379" width="42.5546875" style="310" customWidth="1"/>
    <col min="5380" max="5623" width="9.21875" style="310"/>
    <col min="5624" max="5624" width="13" style="310" customWidth="1"/>
    <col min="5625" max="5625" width="34.44140625" style="310" customWidth="1"/>
    <col min="5626" max="5626" width="20.21875" style="310" customWidth="1"/>
    <col min="5627" max="5627" width="14.77734375" style="310" customWidth="1"/>
    <col min="5628" max="5628" width="8.5546875" style="310" customWidth="1"/>
    <col min="5629" max="5629" width="13" style="310" customWidth="1"/>
    <col min="5630" max="5630" width="8.21875" style="310" customWidth="1"/>
    <col min="5631" max="5631" width="13.44140625" style="310" customWidth="1"/>
    <col min="5632" max="5632" width="9.5546875" style="310" customWidth="1"/>
    <col min="5633" max="5633" width="11.77734375" style="310" customWidth="1"/>
    <col min="5634" max="5634" width="10.5546875" style="310" customWidth="1"/>
    <col min="5635" max="5635" width="42.5546875" style="310" customWidth="1"/>
    <col min="5636" max="5879" width="9.21875" style="310"/>
    <col min="5880" max="5880" width="13" style="310" customWidth="1"/>
    <col min="5881" max="5881" width="34.44140625" style="310" customWidth="1"/>
    <col min="5882" max="5882" width="20.21875" style="310" customWidth="1"/>
    <col min="5883" max="5883" width="14.77734375" style="310" customWidth="1"/>
    <col min="5884" max="5884" width="8.5546875" style="310" customWidth="1"/>
    <col min="5885" max="5885" width="13" style="310" customWidth="1"/>
    <col min="5886" max="5886" width="8.21875" style="310" customWidth="1"/>
    <col min="5887" max="5887" width="13.44140625" style="310" customWidth="1"/>
    <col min="5888" max="5888" width="9.5546875" style="310" customWidth="1"/>
    <col min="5889" max="5889" width="11.77734375" style="310" customWidth="1"/>
    <col min="5890" max="5890" width="10.5546875" style="310" customWidth="1"/>
    <col min="5891" max="5891" width="42.5546875" style="310" customWidth="1"/>
    <col min="5892" max="6135" width="9.21875" style="310"/>
    <col min="6136" max="6136" width="13" style="310" customWidth="1"/>
    <col min="6137" max="6137" width="34.44140625" style="310" customWidth="1"/>
    <col min="6138" max="6138" width="20.21875" style="310" customWidth="1"/>
    <col min="6139" max="6139" width="14.77734375" style="310" customWidth="1"/>
    <col min="6140" max="6140" width="8.5546875" style="310" customWidth="1"/>
    <col min="6141" max="6141" width="13" style="310" customWidth="1"/>
    <col min="6142" max="6142" width="8.21875" style="310" customWidth="1"/>
    <col min="6143" max="6143" width="13.44140625" style="310" customWidth="1"/>
    <col min="6144" max="6144" width="9.5546875" style="310" customWidth="1"/>
    <col min="6145" max="6145" width="11.77734375" style="310" customWidth="1"/>
    <col min="6146" max="6146" width="10.5546875" style="310" customWidth="1"/>
    <col min="6147" max="6147" width="42.5546875" style="310" customWidth="1"/>
    <col min="6148" max="6391" width="9.21875" style="310"/>
    <col min="6392" max="6392" width="13" style="310" customWidth="1"/>
    <col min="6393" max="6393" width="34.44140625" style="310" customWidth="1"/>
    <col min="6394" max="6394" width="20.21875" style="310" customWidth="1"/>
    <col min="6395" max="6395" width="14.77734375" style="310" customWidth="1"/>
    <col min="6396" max="6396" width="8.5546875" style="310" customWidth="1"/>
    <col min="6397" max="6397" width="13" style="310" customWidth="1"/>
    <col min="6398" max="6398" width="8.21875" style="310" customWidth="1"/>
    <col min="6399" max="6399" width="13.44140625" style="310" customWidth="1"/>
    <col min="6400" max="6400" width="9.5546875" style="310" customWidth="1"/>
    <col min="6401" max="6401" width="11.77734375" style="310" customWidth="1"/>
    <col min="6402" max="6402" width="10.5546875" style="310" customWidth="1"/>
    <col min="6403" max="6403" width="42.5546875" style="310" customWidth="1"/>
    <col min="6404" max="6647" width="9.21875" style="310"/>
    <col min="6648" max="6648" width="13" style="310" customWidth="1"/>
    <col min="6649" max="6649" width="34.44140625" style="310" customWidth="1"/>
    <col min="6650" max="6650" width="20.21875" style="310" customWidth="1"/>
    <col min="6651" max="6651" width="14.77734375" style="310" customWidth="1"/>
    <col min="6652" max="6652" width="8.5546875" style="310" customWidth="1"/>
    <col min="6653" max="6653" width="13" style="310" customWidth="1"/>
    <col min="6654" max="6654" width="8.21875" style="310" customWidth="1"/>
    <col min="6655" max="6655" width="13.44140625" style="310" customWidth="1"/>
    <col min="6656" max="6656" width="9.5546875" style="310" customWidth="1"/>
    <col min="6657" max="6657" width="11.77734375" style="310" customWidth="1"/>
    <col min="6658" max="6658" width="10.5546875" style="310" customWidth="1"/>
    <col min="6659" max="6659" width="42.5546875" style="310" customWidth="1"/>
    <col min="6660" max="6903" width="9.21875" style="310"/>
    <col min="6904" max="6904" width="13" style="310" customWidth="1"/>
    <col min="6905" max="6905" width="34.44140625" style="310" customWidth="1"/>
    <col min="6906" max="6906" width="20.21875" style="310" customWidth="1"/>
    <col min="6907" max="6907" width="14.77734375" style="310" customWidth="1"/>
    <col min="6908" max="6908" width="8.5546875" style="310" customWidth="1"/>
    <col min="6909" max="6909" width="13" style="310" customWidth="1"/>
    <col min="6910" max="6910" width="8.21875" style="310" customWidth="1"/>
    <col min="6911" max="6911" width="13.44140625" style="310" customWidth="1"/>
    <col min="6912" max="6912" width="9.5546875" style="310" customWidth="1"/>
    <col min="6913" max="6913" width="11.77734375" style="310" customWidth="1"/>
    <col min="6914" max="6914" width="10.5546875" style="310" customWidth="1"/>
    <col min="6915" max="6915" width="42.5546875" style="310" customWidth="1"/>
    <col min="6916" max="7159" width="9.21875" style="310"/>
    <col min="7160" max="7160" width="13" style="310" customWidth="1"/>
    <col min="7161" max="7161" width="34.44140625" style="310" customWidth="1"/>
    <col min="7162" max="7162" width="20.21875" style="310" customWidth="1"/>
    <col min="7163" max="7163" width="14.77734375" style="310" customWidth="1"/>
    <col min="7164" max="7164" width="8.5546875" style="310" customWidth="1"/>
    <col min="7165" max="7165" width="13" style="310" customWidth="1"/>
    <col min="7166" max="7166" width="8.21875" style="310" customWidth="1"/>
    <col min="7167" max="7167" width="13.44140625" style="310" customWidth="1"/>
    <col min="7168" max="7168" width="9.5546875" style="310" customWidth="1"/>
    <col min="7169" max="7169" width="11.77734375" style="310" customWidth="1"/>
    <col min="7170" max="7170" width="10.5546875" style="310" customWidth="1"/>
    <col min="7171" max="7171" width="42.5546875" style="310" customWidth="1"/>
    <col min="7172" max="7415" width="9.21875" style="310"/>
    <col min="7416" max="7416" width="13" style="310" customWidth="1"/>
    <col min="7417" max="7417" width="34.44140625" style="310" customWidth="1"/>
    <col min="7418" max="7418" width="20.21875" style="310" customWidth="1"/>
    <col min="7419" max="7419" width="14.77734375" style="310" customWidth="1"/>
    <col min="7420" max="7420" width="8.5546875" style="310" customWidth="1"/>
    <col min="7421" max="7421" width="13" style="310" customWidth="1"/>
    <col min="7422" max="7422" width="8.21875" style="310" customWidth="1"/>
    <col min="7423" max="7423" width="13.44140625" style="310" customWidth="1"/>
    <col min="7424" max="7424" width="9.5546875" style="310" customWidth="1"/>
    <col min="7425" max="7425" width="11.77734375" style="310" customWidth="1"/>
    <col min="7426" max="7426" width="10.5546875" style="310" customWidth="1"/>
    <col min="7427" max="7427" width="42.5546875" style="310" customWidth="1"/>
    <col min="7428" max="7671" width="9.21875" style="310"/>
    <col min="7672" max="7672" width="13" style="310" customWidth="1"/>
    <col min="7673" max="7673" width="34.44140625" style="310" customWidth="1"/>
    <col min="7674" max="7674" width="20.21875" style="310" customWidth="1"/>
    <col min="7675" max="7675" width="14.77734375" style="310" customWidth="1"/>
    <col min="7676" max="7676" width="8.5546875" style="310" customWidth="1"/>
    <col min="7677" max="7677" width="13" style="310" customWidth="1"/>
    <col min="7678" max="7678" width="8.21875" style="310" customWidth="1"/>
    <col min="7679" max="7679" width="13.44140625" style="310" customWidth="1"/>
    <col min="7680" max="7680" width="9.5546875" style="310" customWidth="1"/>
    <col min="7681" max="7681" width="11.77734375" style="310" customWidth="1"/>
    <col min="7682" max="7682" width="10.5546875" style="310" customWidth="1"/>
    <col min="7683" max="7683" width="42.5546875" style="310" customWidth="1"/>
    <col min="7684" max="7927" width="9.21875" style="310"/>
    <col min="7928" max="7928" width="13" style="310" customWidth="1"/>
    <col min="7929" max="7929" width="34.44140625" style="310" customWidth="1"/>
    <col min="7930" max="7930" width="20.21875" style="310" customWidth="1"/>
    <col min="7931" max="7931" width="14.77734375" style="310" customWidth="1"/>
    <col min="7932" max="7932" width="8.5546875" style="310" customWidth="1"/>
    <col min="7933" max="7933" width="13" style="310" customWidth="1"/>
    <col min="7934" max="7934" width="8.21875" style="310" customWidth="1"/>
    <col min="7935" max="7935" width="13.44140625" style="310" customWidth="1"/>
    <col min="7936" max="7936" width="9.5546875" style="310" customWidth="1"/>
    <col min="7937" max="7937" width="11.77734375" style="310" customWidth="1"/>
    <col min="7938" max="7938" width="10.5546875" style="310" customWidth="1"/>
    <col min="7939" max="7939" width="42.5546875" style="310" customWidth="1"/>
    <col min="7940" max="8183" width="9.21875" style="310"/>
    <col min="8184" max="8184" width="13" style="310" customWidth="1"/>
    <col min="8185" max="8185" width="34.44140625" style="310" customWidth="1"/>
    <col min="8186" max="8186" width="20.21875" style="310" customWidth="1"/>
    <col min="8187" max="8187" width="14.77734375" style="310" customWidth="1"/>
    <col min="8188" max="8188" width="8.5546875" style="310" customWidth="1"/>
    <col min="8189" max="8189" width="13" style="310" customWidth="1"/>
    <col min="8190" max="8190" width="8.21875" style="310" customWidth="1"/>
    <col min="8191" max="8191" width="13.44140625" style="310" customWidth="1"/>
    <col min="8192" max="8192" width="9.5546875" style="310" customWidth="1"/>
    <col min="8193" max="8193" width="11.77734375" style="310" customWidth="1"/>
    <col min="8194" max="8194" width="10.5546875" style="310" customWidth="1"/>
    <col min="8195" max="8195" width="42.5546875" style="310" customWidth="1"/>
    <col min="8196" max="8439" width="9.21875" style="310"/>
    <col min="8440" max="8440" width="13" style="310" customWidth="1"/>
    <col min="8441" max="8441" width="34.44140625" style="310" customWidth="1"/>
    <col min="8442" max="8442" width="20.21875" style="310" customWidth="1"/>
    <col min="8443" max="8443" width="14.77734375" style="310" customWidth="1"/>
    <col min="8444" max="8444" width="8.5546875" style="310" customWidth="1"/>
    <col min="8445" max="8445" width="13" style="310" customWidth="1"/>
    <col min="8446" max="8446" width="8.21875" style="310" customWidth="1"/>
    <col min="8447" max="8447" width="13.44140625" style="310" customWidth="1"/>
    <col min="8448" max="8448" width="9.5546875" style="310" customWidth="1"/>
    <col min="8449" max="8449" width="11.77734375" style="310" customWidth="1"/>
    <col min="8450" max="8450" width="10.5546875" style="310" customWidth="1"/>
    <col min="8451" max="8451" width="42.5546875" style="310" customWidth="1"/>
    <col min="8452" max="8695" width="9.21875" style="310"/>
    <col min="8696" max="8696" width="13" style="310" customWidth="1"/>
    <col min="8697" max="8697" width="34.44140625" style="310" customWidth="1"/>
    <col min="8698" max="8698" width="20.21875" style="310" customWidth="1"/>
    <col min="8699" max="8699" width="14.77734375" style="310" customWidth="1"/>
    <col min="8700" max="8700" width="8.5546875" style="310" customWidth="1"/>
    <col min="8701" max="8701" width="13" style="310" customWidth="1"/>
    <col min="8702" max="8702" width="8.21875" style="310" customWidth="1"/>
    <col min="8703" max="8703" width="13.44140625" style="310" customWidth="1"/>
    <col min="8704" max="8704" width="9.5546875" style="310" customWidth="1"/>
    <col min="8705" max="8705" width="11.77734375" style="310" customWidth="1"/>
    <col min="8706" max="8706" width="10.5546875" style="310" customWidth="1"/>
    <col min="8707" max="8707" width="42.5546875" style="310" customWidth="1"/>
    <col min="8708" max="8951" width="9.21875" style="310"/>
    <col min="8952" max="8952" width="13" style="310" customWidth="1"/>
    <col min="8953" max="8953" width="34.44140625" style="310" customWidth="1"/>
    <col min="8954" max="8954" width="20.21875" style="310" customWidth="1"/>
    <col min="8955" max="8955" width="14.77734375" style="310" customWidth="1"/>
    <col min="8956" max="8956" width="8.5546875" style="310" customWidth="1"/>
    <col min="8957" max="8957" width="13" style="310" customWidth="1"/>
    <col min="8958" max="8958" width="8.21875" style="310" customWidth="1"/>
    <col min="8959" max="8959" width="13.44140625" style="310" customWidth="1"/>
    <col min="8960" max="8960" width="9.5546875" style="310" customWidth="1"/>
    <col min="8961" max="8961" width="11.77734375" style="310" customWidth="1"/>
    <col min="8962" max="8962" width="10.5546875" style="310" customWidth="1"/>
    <col min="8963" max="8963" width="42.5546875" style="310" customWidth="1"/>
    <col min="8964" max="9207" width="9.21875" style="310"/>
    <col min="9208" max="9208" width="13" style="310" customWidth="1"/>
    <col min="9209" max="9209" width="34.44140625" style="310" customWidth="1"/>
    <col min="9210" max="9210" width="20.21875" style="310" customWidth="1"/>
    <col min="9211" max="9211" width="14.77734375" style="310" customWidth="1"/>
    <col min="9212" max="9212" width="8.5546875" style="310" customWidth="1"/>
    <col min="9213" max="9213" width="13" style="310" customWidth="1"/>
    <col min="9214" max="9214" width="8.21875" style="310" customWidth="1"/>
    <col min="9215" max="9215" width="13.44140625" style="310" customWidth="1"/>
    <col min="9216" max="9216" width="9.5546875" style="310" customWidth="1"/>
    <col min="9217" max="9217" width="11.77734375" style="310" customWidth="1"/>
    <col min="9218" max="9218" width="10.5546875" style="310" customWidth="1"/>
    <col min="9219" max="9219" width="42.5546875" style="310" customWidth="1"/>
    <col min="9220" max="9463" width="9.21875" style="310"/>
    <col min="9464" max="9464" width="13" style="310" customWidth="1"/>
    <col min="9465" max="9465" width="34.44140625" style="310" customWidth="1"/>
    <col min="9466" max="9466" width="20.21875" style="310" customWidth="1"/>
    <col min="9467" max="9467" width="14.77734375" style="310" customWidth="1"/>
    <col min="9468" max="9468" width="8.5546875" style="310" customWidth="1"/>
    <col min="9469" max="9469" width="13" style="310" customWidth="1"/>
    <col min="9470" max="9470" width="8.21875" style="310" customWidth="1"/>
    <col min="9471" max="9471" width="13.44140625" style="310" customWidth="1"/>
    <col min="9472" max="9472" width="9.5546875" style="310" customWidth="1"/>
    <col min="9473" max="9473" width="11.77734375" style="310" customWidth="1"/>
    <col min="9474" max="9474" width="10.5546875" style="310" customWidth="1"/>
    <col min="9475" max="9475" width="42.5546875" style="310" customWidth="1"/>
    <col min="9476" max="9719" width="9.21875" style="310"/>
    <col min="9720" max="9720" width="13" style="310" customWidth="1"/>
    <col min="9721" max="9721" width="34.44140625" style="310" customWidth="1"/>
    <col min="9722" max="9722" width="20.21875" style="310" customWidth="1"/>
    <col min="9723" max="9723" width="14.77734375" style="310" customWidth="1"/>
    <col min="9724" max="9724" width="8.5546875" style="310" customWidth="1"/>
    <col min="9725" max="9725" width="13" style="310" customWidth="1"/>
    <col min="9726" max="9726" width="8.21875" style="310" customWidth="1"/>
    <col min="9727" max="9727" width="13.44140625" style="310" customWidth="1"/>
    <col min="9728" max="9728" width="9.5546875" style="310" customWidth="1"/>
    <col min="9729" max="9729" width="11.77734375" style="310" customWidth="1"/>
    <col min="9730" max="9730" width="10.5546875" style="310" customWidth="1"/>
    <col min="9731" max="9731" width="42.5546875" style="310" customWidth="1"/>
    <col min="9732" max="9975" width="9.21875" style="310"/>
    <col min="9976" max="9976" width="13" style="310" customWidth="1"/>
    <col min="9977" max="9977" width="34.44140625" style="310" customWidth="1"/>
    <col min="9978" max="9978" width="20.21875" style="310" customWidth="1"/>
    <col min="9979" max="9979" width="14.77734375" style="310" customWidth="1"/>
    <col min="9980" max="9980" width="8.5546875" style="310" customWidth="1"/>
    <col min="9981" max="9981" width="13" style="310" customWidth="1"/>
    <col min="9982" max="9982" width="8.21875" style="310" customWidth="1"/>
    <col min="9983" max="9983" width="13.44140625" style="310" customWidth="1"/>
    <col min="9984" max="9984" width="9.5546875" style="310" customWidth="1"/>
    <col min="9985" max="9985" width="11.77734375" style="310" customWidth="1"/>
    <col min="9986" max="9986" width="10.5546875" style="310" customWidth="1"/>
    <col min="9987" max="9987" width="42.5546875" style="310" customWidth="1"/>
    <col min="9988" max="10231" width="9.21875" style="310"/>
    <col min="10232" max="10232" width="13" style="310" customWidth="1"/>
    <col min="10233" max="10233" width="34.44140625" style="310" customWidth="1"/>
    <col min="10234" max="10234" width="20.21875" style="310" customWidth="1"/>
    <col min="10235" max="10235" width="14.77734375" style="310" customWidth="1"/>
    <col min="10236" max="10236" width="8.5546875" style="310" customWidth="1"/>
    <col min="10237" max="10237" width="13" style="310" customWidth="1"/>
    <col min="10238" max="10238" width="8.21875" style="310" customWidth="1"/>
    <col min="10239" max="10239" width="13.44140625" style="310" customWidth="1"/>
    <col min="10240" max="10240" width="9.5546875" style="310" customWidth="1"/>
    <col min="10241" max="10241" width="11.77734375" style="310" customWidth="1"/>
    <col min="10242" max="10242" width="10.5546875" style="310" customWidth="1"/>
    <col min="10243" max="10243" width="42.5546875" style="310" customWidth="1"/>
    <col min="10244" max="10487" width="9.21875" style="310"/>
    <col min="10488" max="10488" width="13" style="310" customWidth="1"/>
    <col min="10489" max="10489" width="34.44140625" style="310" customWidth="1"/>
    <col min="10490" max="10490" width="20.21875" style="310" customWidth="1"/>
    <col min="10491" max="10491" width="14.77734375" style="310" customWidth="1"/>
    <col min="10492" max="10492" width="8.5546875" style="310" customWidth="1"/>
    <col min="10493" max="10493" width="13" style="310" customWidth="1"/>
    <col min="10494" max="10494" width="8.21875" style="310" customWidth="1"/>
    <col min="10495" max="10495" width="13.44140625" style="310" customWidth="1"/>
    <col min="10496" max="10496" width="9.5546875" style="310" customWidth="1"/>
    <col min="10497" max="10497" width="11.77734375" style="310" customWidth="1"/>
    <col min="10498" max="10498" width="10.5546875" style="310" customWidth="1"/>
    <col min="10499" max="10499" width="42.5546875" style="310" customWidth="1"/>
    <col min="10500" max="10743" width="9.21875" style="310"/>
    <col min="10744" max="10744" width="13" style="310" customWidth="1"/>
    <col min="10745" max="10745" width="34.44140625" style="310" customWidth="1"/>
    <col min="10746" max="10746" width="20.21875" style="310" customWidth="1"/>
    <col min="10747" max="10747" width="14.77734375" style="310" customWidth="1"/>
    <col min="10748" max="10748" width="8.5546875" style="310" customWidth="1"/>
    <col min="10749" max="10749" width="13" style="310" customWidth="1"/>
    <col min="10750" max="10750" width="8.21875" style="310" customWidth="1"/>
    <col min="10751" max="10751" width="13.44140625" style="310" customWidth="1"/>
    <col min="10752" max="10752" width="9.5546875" style="310" customWidth="1"/>
    <col min="10753" max="10753" width="11.77734375" style="310" customWidth="1"/>
    <col min="10754" max="10754" width="10.5546875" style="310" customWidth="1"/>
    <col min="10755" max="10755" width="42.5546875" style="310" customWidth="1"/>
    <col min="10756" max="10999" width="9.21875" style="310"/>
    <col min="11000" max="11000" width="13" style="310" customWidth="1"/>
    <col min="11001" max="11001" width="34.44140625" style="310" customWidth="1"/>
    <col min="11002" max="11002" width="20.21875" style="310" customWidth="1"/>
    <col min="11003" max="11003" width="14.77734375" style="310" customWidth="1"/>
    <col min="11004" max="11004" width="8.5546875" style="310" customWidth="1"/>
    <col min="11005" max="11005" width="13" style="310" customWidth="1"/>
    <col min="11006" max="11006" width="8.21875" style="310" customWidth="1"/>
    <col min="11007" max="11007" width="13.44140625" style="310" customWidth="1"/>
    <col min="11008" max="11008" width="9.5546875" style="310" customWidth="1"/>
    <col min="11009" max="11009" width="11.77734375" style="310" customWidth="1"/>
    <col min="11010" max="11010" width="10.5546875" style="310" customWidth="1"/>
    <col min="11011" max="11011" width="42.5546875" style="310" customWidth="1"/>
    <col min="11012" max="11255" width="9.21875" style="310"/>
    <col min="11256" max="11256" width="13" style="310" customWidth="1"/>
    <col min="11257" max="11257" width="34.44140625" style="310" customWidth="1"/>
    <col min="11258" max="11258" width="20.21875" style="310" customWidth="1"/>
    <col min="11259" max="11259" width="14.77734375" style="310" customWidth="1"/>
    <col min="11260" max="11260" width="8.5546875" style="310" customWidth="1"/>
    <col min="11261" max="11261" width="13" style="310" customWidth="1"/>
    <col min="11262" max="11262" width="8.21875" style="310" customWidth="1"/>
    <col min="11263" max="11263" width="13.44140625" style="310" customWidth="1"/>
    <col min="11264" max="11264" width="9.5546875" style="310" customWidth="1"/>
    <col min="11265" max="11265" width="11.77734375" style="310" customWidth="1"/>
    <col min="11266" max="11266" width="10.5546875" style="310" customWidth="1"/>
    <col min="11267" max="11267" width="42.5546875" style="310" customWidth="1"/>
    <col min="11268" max="11511" width="9.21875" style="310"/>
    <col min="11512" max="11512" width="13" style="310" customWidth="1"/>
    <col min="11513" max="11513" width="34.44140625" style="310" customWidth="1"/>
    <col min="11514" max="11514" width="20.21875" style="310" customWidth="1"/>
    <col min="11515" max="11515" width="14.77734375" style="310" customWidth="1"/>
    <col min="11516" max="11516" width="8.5546875" style="310" customWidth="1"/>
    <col min="11517" max="11517" width="13" style="310" customWidth="1"/>
    <col min="11518" max="11518" width="8.21875" style="310" customWidth="1"/>
    <col min="11519" max="11519" width="13.44140625" style="310" customWidth="1"/>
    <col min="11520" max="11520" width="9.5546875" style="310" customWidth="1"/>
    <col min="11521" max="11521" width="11.77734375" style="310" customWidth="1"/>
    <col min="11522" max="11522" width="10.5546875" style="310" customWidth="1"/>
    <col min="11523" max="11523" width="42.5546875" style="310" customWidth="1"/>
    <col min="11524" max="11767" width="9.21875" style="310"/>
    <col min="11768" max="11768" width="13" style="310" customWidth="1"/>
    <col min="11769" max="11769" width="34.44140625" style="310" customWidth="1"/>
    <col min="11770" max="11770" width="20.21875" style="310" customWidth="1"/>
    <col min="11771" max="11771" width="14.77734375" style="310" customWidth="1"/>
    <col min="11772" max="11772" width="8.5546875" style="310" customWidth="1"/>
    <col min="11773" max="11773" width="13" style="310" customWidth="1"/>
    <col min="11774" max="11774" width="8.21875" style="310" customWidth="1"/>
    <col min="11775" max="11775" width="13.44140625" style="310" customWidth="1"/>
    <col min="11776" max="11776" width="9.5546875" style="310" customWidth="1"/>
    <col min="11777" max="11777" width="11.77734375" style="310" customWidth="1"/>
    <col min="11778" max="11778" width="10.5546875" style="310" customWidth="1"/>
    <col min="11779" max="11779" width="42.5546875" style="310" customWidth="1"/>
    <col min="11780" max="12023" width="9.21875" style="310"/>
    <col min="12024" max="12024" width="13" style="310" customWidth="1"/>
    <col min="12025" max="12025" width="34.44140625" style="310" customWidth="1"/>
    <col min="12026" max="12026" width="20.21875" style="310" customWidth="1"/>
    <col min="12027" max="12027" width="14.77734375" style="310" customWidth="1"/>
    <col min="12028" max="12028" width="8.5546875" style="310" customWidth="1"/>
    <col min="12029" max="12029" width="13" style="310" customWidth="1"/>
    <col min="12030" max="12030" width="8.21875" style="310" customWidth="1"/>
    <col min="12031" max="12031" width="13.44140625" style="310" customWidth="1"/>
    <col min="12032" max="12032" width="9.5546875" style="310" customWidth="1"/>
    <col min="12033" max="12033" width="11.77734375" style="310" customWidth="1"/>
    <col min="12034" max="12034" width="10.5546875" style="310" customWidth="1"/>
    <col min="12035" max="12035" width="42.5546875" style="310" customWidth="1"/>
    <col min="12036" max="12279" width="9.21875" style="310"/>
    <col min="12280" max="12280" width="13" style="310" customWidth="1"/>
    <col min="12281" max="12281" width="34.44140625" style="310" customWidth="1"/>
    <col min="12282" max="12282" width="20.21875" style="310" customWidth="1"/>
    <col min="12283" max="12283" width="14.77734375" style="310" customWidth="1"/>
    <col min="12284" max="12284" width="8.5546875" style="310" customWidth="1"/>
    <col min="12285" max="12285" width="13" style="310" customWidth="1"/>
    <col min="12286" max="12286" width="8.21875" style="310" customWidth="1"/>
    <col min="12287" max="12287" width="13.44140625" style="310" customWidth="1"/>
    <col min="12288" max="12288" width="9.5546875" style="310" customWidth="1"/>
    <col min="12289" max="12289" width="11.77734375" style="310" customWidth="1"/>
    <col min="12290" max="12290" width="10.5546875" style="310" customWidth="1"/>
    <col min="12291" max="12291" width="42.5546875" style="310" customWidth="1"/>
    <col min="12292" max="12535" width="9.21875" style="310"/>
    <col min="12536" max="12536" width="13" style="310" customWidth="1"/>
    <col min="12537" max="12537" width="34.44140625" style="310" customWidth="1"/>
    <col min="12538" max="12538" width="20.21875" style="310" customWidth="1"/>
    <col min="12539" max="12539" width="14.77734375" style="310" customWidth="1"/>
    <col min="12540" max="12540" width="8.5546875" style="310" customWidth="1"/>
    <col min="12541" max="12541" width="13" style="310" customWidth="1"/>
    <col min="12542" max="12542" width="8.21875" style="310" customWidth="1"/>
    <col min="12543" max="12543" width="13.44140625" style="310" customWidth="1"/>
    <col min="12544" max="12544" width="9.5546875" style="310" customWidth="1"/>
    <col min="12545" max="12545" width="11.77734375" style="310" customWidth="1"/>
    <col min="12546" max="12546" width="10.5546875" style="310" customWidth="1"/>
    <col min="12547" max="12547" width="42.5546875" style="310" customWidth="1"/>
    <col min="12548" max="12791" width="9.21875" style="310"/>
    <col min="12792" max="12792" width="13" style="310" customWidth="1"/>
    <col min="12793" max="12793" width="34.44140625" style="310" customWidth="1"/>
    <col min="12794" max="12794" width="20.21875" style="310" customWidth="1"/>
    <col min="12795" max="12795" width="14.77734375" style="310" customWidth="1"/>
    <col min="12796" max="12796" width="8.5546875" style="310" customWidth="1"/>
    <col min="12797" max="12797" width="13" style="310" customWidth="1"/>
    <col min="12798" max="12798" width="8.21875" style="310" customWidth="1"/>
    <col min="12799" max="12799" width="13.44140625" style="310" customWidth="1"/>
    <col min="12800" max="12800" width="9.5546875" style="310" customWidth="1"/>
    <col min="12801" max="12801" width="11.77734375" style="310" customWidth="1"/>
    <col min="12802" max="12802" width="10.5546875" style="310" customWidth="1"/>
    <col min="12803" max="12803" width="42.5546875" style="310" customWidth="1"/>
    <col min="12804" max="13047" width="9.21875" style="310"/>
    <col min="13048" max="13048" width="13" style="310" customWidth="1"/>
    <col min="13049" max="13049" width="34.44140625" style="310" customWidth="1"/>
    <col min="13050" max="13050" width="20.21875" style="310" customWidth="1"/>
    <col min="13051" max="13051" width="14.77734375" style="310" customWidth="1"/>
    <col min="13052" max="13052" width="8.5546875" style="310" customWidth="1"/>
    <col min="13053" max="13053" width="13" style="310" customWidth="1"/>
    <col min="13054" max="13054" width="8.21875" style="310" customWidth="1"/>
    <col min="13055" max="13055" width="13.44140625" style="310" customWidth="1"/>
    <col min="13056" max="13056" width="9.5546875" style="310" customWidth="1"/>
    <col min="13057" max="13057" width="11.77734375" style="310" customWidth="1"/>
    <col min="13058" max="13058" width="10.5546875" style="310" customWidth="1"/>
    <col min="13059" max="13059" width="42.5546875" style="310" customWidth="1"/>
    <col min="13060" max="13303" width="9.21875" style="310"/>
    <col min="13304" max="13304" width="13" style="310" customWidth="1"/>
    <col min="13305" max="13305" width="34.44140625" style="310" customWidth="1"/>
    <col min="13306" max="13306" width="20.21875" style="310" customWidth="1"/>
    <col min="13307" max="13307" width="14.77734375" style="310" customWidth="1"/>
    <col min="13308" max="13308" width="8.5546875" style="310" customWidth="1"/>
    <col min="13309" max="13309" width="13" style="310" customWidth="1"/>
    <col min="13310" max="13310" width="8.21875" style="310" customWidth="1"/>
    <col min="13311" max="13311" width="13.44140625" style="310" customWidth="1"/>
    <col min="13312" max="13312" width="9.5546875" style="310" customWidth="1"/>
    <col min="13313" max="13313" width="11.77734375" style="310" customWidth="1"/>
    <col min="13314" max="13314" width="10.5546875" style="310" customWidth="1"/>
    <col min="13315" max="13315" width="42.5546875" style="310" customWidth="1"/>
    <col min="13316" max="13559" width="9.21875" style="310"/>
    <col min="13560" max="13560" width="13" style="310" customWidth="1"/>
    <col min="13561" max="13561" width="34.44140625" style="310" customWidth="1"/>
    <col min="13562" max="13562" width="20.21875" style="310" customWidth="1"/>
    <col min="13563" max="13563" width="14.77734375" style="310" customWidth="1"/>
    <col min="13564" max="13564" width="8.5546875" style="310" customWidth="1"/>
    <col min="13565" max="13565" width="13" style="310" customWidth="1"/>
    <col min="13566" max="13566" width="8.21875" style="310" customWidth="1"/>
    <col min="13567" max="13567" width="13.44140625" style="310" customWidth="1"/>
    <col min="13568" max="13568" width="9.5546875" style="310" customWidth="1"/>
    <col min="13569" max="13569" width="11.77734375" style="310" customWidth="1"/>
    <col min="13570" max="13570" width="10.5546875" style="310" customWidth="1"/>
    <col min="13571" max="13571" width="42.5546875" style="310" customWidth="1"/>
    <col min="13572" max="13815" width="9.21875" style="310"/>
    <col min="13816" max="13816" width="13" style="310" customWidth="1"/>
    <col min="13817" max="13817" width="34.44140625" style="310" customWidth="1"/>
    <col min="13818" max="13818" width="20.21875" style="310" customWidth="1"/>
    <col min="13819" max="13819" width="14.77734375" style="310" customWidth="1"/>
    <col min="13820" max="13820" width="8.5546875" style="310" customWidth="1"/>
    <col min="13821" max="13821" width="13" style="310" customWidth="1"/>
    <col min="13822" max="13822" width="8.21875" style="310" customWidth="1"/>
    <col min="13823" max="13823" width="13.44140625" style="310" customWidth="1"/>
    <col min="13824" max="13824" width="9.5546875" style="310" customWidth="1"/>
    <col min="13825" max="13825" width="11.77734375" style="310" customWidth="1"/>
    <col min="13826" max="13826" width="10.5546875" style="310" customWidth="1"/>
    <col min="13827" max="13827" width="42.5546875" style="310" customWidth="1"/>
    <col min="13828" max="14071" width="9.21875" style="310"/>
    <col min="14072" max="14072" width="13" style="310" customWidth="1"/>
    <col min="14073" max="14073" width="34.44140625" style="310" customWidth="1"/>
    <col min="14074" max="14074" width="20.21875" style="310" customWidth="1"/>
    <col min="14075" max="14075" width="14.77734375" style="310" customWidth="1"/>
    <col min="14076" max="14076" width="8.5546875" style="310" customWidth="1"/>
    <col min="14077" max="14077" width="13" style="310" customWidth="1"/>
    <col min="14078" max="14078" width="8.21875" style="310" customWidth="1"/>
    <col min="14079" max="14079" width="13.44140625" style="310" customWidth="1"/>
    <col min="14080" max="14080" width="9.5546875" style="310" customWidth="1"/>
    <col min="14081" max="14081" width="11.77734375" style="310" customWidth="1"/>
    <col min="14082" max="14082" width="10.5546875" style="310" customWidth="1"/>
    <col min="14083" max="14083" width="42.5546875" style="310" customWidth="1"/>
    <col min="14084" max="14327" width="9.21875" style="310"/>
    <col min="14328" max="14328" width="13" style="310" customWidth="1"/>
    <col min="14329" max="14329" width="34.44140625" style="310" customWidth="1"/>
    <col min="14330" max="14330" width="20.21875" style="310" customWidth="1"/>
    <col min="14331" max="14331" width="14.77734375" style="310" customWidth="1"/>
    <col min="14332" max="14332" width="8.5546875" style="310" customWidth="1"/>
    <col min="14333" max="14333" width="13" style="310" customWidth="1"/>
    <col min="14334" max="14334" width="8.21875" style="310" customWidth="1"/>
    <col min="14335" max="14335" width="13.44140625" style="310" customWidth="1"/>
    <col min="14336" max="14336" width="9.5546875" style="310" customWidth="1"/>
    <col min="14337" max="14337" width="11.77734375" style="310" customWidth="1"/>
    <col min="14338" max="14338" width="10.5546875" style="310" customWidth="1"/>
    <col min="14339" max="14339" width="42.5546875" style="310" customWidth="1"/>
    <col min="14340" max="14583" width="9.21875" style="310"/>
    <col min="14584" max="14584" width="13" style="310" customWidth="1"/>
    <col min="14585" max="14585" width="34.44140625" style="310" customWidth="1"/>
    <col min="14586" max="14586" width="20.21875" style="310" customWidth="1"/>
    <col min="14587" max="14587" width="14.77734375" style="310" customWidth="1"/>
    <col min="14588" max="14588" width="8.5546875" style="310" customWidth="1"/>
    <col min="14589" max="14589" width="13" style="310" customWidth="1"/>
    <col min="14590" max="14590" width="8.21875" style="310" customWidth="1"/>
    <col min="14591" max="14591" width="13.44140625" style="310" customWidth="1"/>
    <col min="14592" max="14592" width="9.5546875" style="310" customWidth="1"/>
    <col min="14593" max="14593" width="11.77734375" style="310" customWidth="1"/>
    <col min="14594" max="14594" width="10.5546875" style="310" customWidth="1"/>
    <col min="14595" max="14595" width="42.5546875" style="310" customWidth="1"/>
    <col min="14596" max="14839" width="9.21875" style="310"/>
    <col min="14840" max="14840" width="13" style="310" customWidth="1"/>
    <col min="14841" max="14841" width="34.44140625" style="310" customWidth="1"/>
    <col min="14842" max="14842" width="20.21875" style="310" customWidth="1"/>
    <col min="14843" max="14843" width="14.77734375" style="310" customWidth="1"/>
    <col min="14844" max="14844" width="8.5546875" style="310" customWidth="1"/>
    <col min="14845" max="14845" width="13" style="310" customWidth="1"/>
    <col min="14846" max="14846" width="8.21875" style="310" customWidth="1"/>
    <col min="14847" max="14847" width="13.44140625" style="310" customWidth="1"/>
    <col min="14848" max="14848" width="9.5546875" style="310" customWidth="1"/>
    <col min="14849" max="14849" width="11.77734375" style="310" customWidth="1"/>
    <col min="14850" max="14850" width="10.5546875" style="310" customWidth="1"/>
    <col min="14851" max="14851" width="42.5546875" style="310" customWidth="1"/>
    <col min="14852" max="15095" width="9.21875" style="310"/>
    <col min="15096" max="15096" width="13" style="310" customWidth="1"/>
    <col min="15097" max="15097" width="34.44140625" style="310" customWidth="1"/>
    <col min="15098" max="15098" width="20.21875" style="310" customWidth="1"/>
    <col min="15099" max="15099" width="14.77734375" style="310" customWidth="1"/>
    <col min="15100" max="15100" width="8.5546875" style="310" customWidth="1"/>
    <col min="15101" max="15101" width="13" style="310" customWidth="1"/>
    <col min="15102" max="15102" width="8.21875" style="310" customWidth="1"/>
    <col min="15103" max="15103" width="13.44140625" style="310" customWidth="1"/>
    <col min="15104" max="15104" width="9.5546875" style="310" customWidth="1"/>
    <col min="15105" max="15105" width="11.77734375" style="310" customWidth="1"/>
    <col min="15106" max="15106" width="10.5546875" style="310" customWidth="1"/>
    <col min="15107" max="15107" width="42.5546875" style="310" customWidth="1"/>
    <col min="15108" max="15351" width="9.21875" style="310"/>
    <col min="15352" max="15352" width="13" style="310" customWidth="1"/>
    <col min="15353" max="15353" width="34.44140625" style="310" customWidth="1"/>
    <col min="15354" max="15354" width="20.21875" style="310" customWidth="1"/>
    <col min="15355" max="15355" width="14.77734375" style="310" customWidth="1"/>
    <col min="15356" max="15356" width="8.5546875" style="310" customWidth="1"/>
    <col min="15357" max="15357" width="13" style="310" customWidth="1"/>
    <col min="15358" max="15358" width="8.21875" style="310" customWidth="1"/>
    <col min="15359" max="15359" width="13.44140625" style="310" customWidth="1"/>
    <col min="15360" max="15360" width="9.5546875" style="310" customWidth="1"/>
    <col min="15361" max="15361" width="11.77734375" style="310" customWidth="1"/>
    <col min="15362" max="15362" width="10.5546875" style="310" customWidth="1"/>
    <col min="15363" max="15363" width="42.5546875" style="310" customWidth="1"/>
    <col min="15364" max="15607" width="9.21875" style="310"/>
    <col min="15608" max="15608" width="13" style="310" customWidth="1"/>
    <col min="15609" max="15609" width="34.44140625" style="310" customWidth="1"/>
    <col min="15610" max="15610" width="20.21875" style="310" customWidth="1"/>
    <col min="15611" max="15611" width="14.77734375" style="310" customWidth="1"/>
    <col min="15612" max="15612" width="8.5546875" style="310" customWidth="1"/>
    <col min="15613" max="15613" width="13" style="310" customWidth="1"/>
    <col min="15614" max="15614" width="8.21875" style="310" customWidth="1"/>
    <col min="15615" max="15615" width="13.44140625" style="310" customWidth="1"/>
    <col min="15616" max="15616" width="9.5546875" style="310" customWidth="1"/>
    <col min="15617" max="15617" width="11.77734375" style="310" customWidth="1"/>
    <col min="15618" max="15618" width="10.5546875" style="310" customWidth="1"/>
    <col min="15619" max="15619" width="42.5546875" style="310" customWidth="1"/>
    <col min="15620" max="15863" width="9.21875" style="310"/>
    <col min="15864" max="15864" width="13" style="310" customWidth="1"/>
    <col min="15865" max="15865" width="34.44140625" style="310" customWidth="1"/>
    <col min="15866" max="15866" width="20.21875" style="310" customWidth="1"/>
    <col min="15867" max="15867" width="14.77734375" style="310" customWidth="1"/>
    <col min="15868" max="15868" width="8.5546875" style="310" customWidth="1"/>
    <col min="15869" max="15869" width="13" style="310" customWidth="1"/>
    <col min="15870" max="15870" width="8.21875" style="310" customWidth="1"/>
    <col min="15871" max="15871" width="13.44140625" style="310" customWidth="1"/>
    <col min="15872" max="15872" width="9.5546875" style="310" customWidth="1"/>
    <col min="15873" max="15873" width="11.77734375" style="310" customWidth="1"/>
    <col min="15874" max="15874" width="10.5546875" style="310" customWidth="1"/>
    <col min="15875" max="15875" width="42.5546875" style="310" customWidth="1"/>
    <col min="15876" max="16119" width="9.21875" style="310"/>
    <col min="16120" max="16120" width="13" style="310" customWidth="1"/>
    <col min="16121" max="16121" width="34.44140625" style="310" customWidth="1"/>
    <col min="16122" max="16122" width="20.21875" style="310" customWidth="1"/>
    <col min="16123" max="16123" width="14.77734375" style="310" customWidth="1"/>
    <col min="16124" max="16124" width="8.5546875" style="310" customWidth="1"/>
    <col min="16125" max="16125" width="13" style="310" customWidth="1"/>
    <col min="16126" max="16126" width="8.21875" style="310" customWidth="1"/>
    <col min="16127" max="16127" width="13.44140625" style="310" customWidth="1"/>
    <col min="16128" max="16128" width="9.5546875" style="310" customWidth="1"/>
    <col min="16129" max="16129" width="11.77734375" style="310" customWidth="1"/>
    <col min="16130" max="16130" width="10.5546875" style="310" customWidth="1"/>
    <col min="16131" max="16131" width="42.5546875" style="310" customWidth="1"/>
    <col min="16132" max="16384" width="9.21875" style="310"/>
  </cols>
  <sheetData>
    <row r="1" spans="1:5" x14ac:dyDescent="0.25">
      <c r="A1" s="337" t="s">
        <v>201</v>
      </c>
      <c r="B1" s="338" t="s">
        <v>202</v>
      </c>
      <c r="C1" s="339" t="s">
        <v>196</v>
      </c>
      <c r="D1" s="340" t="s">
        <v>197</v>
      </c>
      <c r="E1" s="368" t="s">
        <v>1467</v>
      </c>
    </row>
    <row r="2" spans="1:5" x14ac:dyDescent="0.25">
      <c r="A2" s="324">
        <v>90371</v>
      </c>
      <c r="B2" s="312" t="s">
        <v>203</v>
      </c>
      <c r="C2" s="311" t="s">
        <v>204</v>
      </c>
      <c r="D2" s="327">
        <v>114.435</v>
      </c>
    </row>
    <row r="3" spans="1:5" x14ac:dyDescent="0.25">
      <c r="A3" s="324">
        <v>90375</v>
      </c>
      <c r="B3" s="312" t="s">
        <v>205</v>
      </c>
      <c r="C3" s="311" t="s">
        <v>206</v>
      </c>
      <c r="D3" s="327">
        <v>283.63200000000001</v>
      </c>
    </row>
    <row r="4" spans="1:5" x14ac:dyDescent="0.25">
      <c r="A4" s="324">
        <v>90376</v>
      </c>
      <c r="B4" s="312" t="s">
        <v>207</v>
      </c>
      <c r="C4" s="311" t="s">
        <v>206</v>
      </c>
      <c r="D4" s="327">
        <v>272.08100000000002</v>
      </c>
    </row>
    <row r="5" spans="1:5" x14ac:dyDescent="0.25">
      <c r="A5" s="324">
        <v>90585</v>
      </c>
      <c r="B5" s="312" t="s">
        <v>208</v>
      </c>
      <c r="C5" s="311" t="s">
        <v>209</v>
      </c>
      <c r="D5" s="327">
        <v>123.39400000000001</v>
      </c>
    </row>
    <row r="6" spans="1:5" x14ac:dyDescent="0.25">
      <c r="A6" s="324">
        <v>90586</v>
      </c>
      <c r="B6" s="312" t="s">
        <v>2478</v>
      </c>
      <c r="C6" s="311" t="s">
        <v>211</v>
      </c>
      <c r="D6" s="327">
        <v>123.39400000000001</v>
      </c>
    </row>
    <row r="7" spans="1:5" x14ac:dyDescent="0.25">
      <c r="A7" s="324">
        <v>90630</v>
      </c>
      <c r="B7" s="312" t="s">
        <v>2479</v>
      </c>
      <c r="C7" s="311" t="s">
        <v>1810</v>
      </c>
      <c r="D7" s="327">
        <v>23.466899999999999</v>
      </c>
    </row>
    <row r="8" spans="1:5" x14ac:dyDescent="0.25">
      <c r="A8" s="324">
        <v>90632</v>
      </c>
      <c r="B8" s="312" t="s">
        <v>2480</v>
      </c>
      <c r="C8" s="311" t="s">
        <v>204</v>
      </c>
      <c r="D8" s="327">
        <v>50.841000000000001</v>
      </c>
    </row>
    <row r="9" spans="1:5" x14ac:dyDescent="0.25">
      <c r="A9" s="324">
        <v>90656</v>
      </c>
      <c r="B9" s="312" t="s">
        <v>2481</v>
      </c>
      <c r="C9" s="311" t="s">
        <v>2482</v>
      </c>
      <c r="D9" s="327">
        <v>13.879499999999998</v>
      </c>
    </row>
    <row r="10" spans="1:5" x14ac:dyDescent="0.25">
      <c r="A10" s="324">
        <v>90657</v>
      </c>
      <c r="B10" s="312" t="s">
        <v>2483</v>
      </c>
      <c r="C10" s="311" t="s">
        <v>226</v>
      </c>
      <c r="D10" s="327">
        <v>6.0220500000000001</v>
      </c>
    </row>
    <row r="11" spans="1:5" ht="26.4" x14ac:dyDescent="0.25">
      <c r="A11" s="324">
        <v>90661</v>
      </c>
      <c r="B11" s="312" t="s">
        <v>2484</v>
      </c>
      <c r="C11" s="311" t="s">
        <v>216</v>
      </c>
      <c r="D11" s="327">
        <v>22.287949999999999</v>
      </c>
    </row>
    <row r="12" spans="1:5" x14ac:dyDescent="0.25">
      <c r="A12" s="324">
        <v>90662</v>
      </c>
      <c r="B12" s="312" t="s">
        <v>2485</v>
      </c>
      <c r="C12" s="311" t="s">
        <v>216</v>
      </c>
      <c r="D12" s="327">
        <v>36.314700000000002</v>
      </c>
    </row>
    <row r="13" spans="1:5" x14ac:dyDescent="0.25">
      <c r="A13" s="324">
        <v>90670</v>
      </c>
      <c r="B13" s="311" t="s">
        <v>2486</v>
      </c>
      <c r="C13" s="311" t="s">
        <v>216</v>
      </c>
      <c r="D13" s="327">
        <v>181.06100000000001</v>
      </c>
    </row>
    <row r="14" spans="1:5" x14ac:dyDescent="0.25">
      <c r="A14" s="325">
        <v>90672</v>
      </c>
      <c r="B14" s="312" t="s">
        <v>2487</v>
      </c>
      <c r="C14" s="314" t="s">
        <v>2397</v>
      </c>
      <c r="D14" s="327">
        <v>26.876000000000001</v>
      </c>
    </row>
    <row r="15" spans="1:5" x14ac:dyDescent="0.25">
      <c r="A15" s="325">
        <v>90673</v>
      </c>
      <c r="B15" s="312" t="s">
        <v>2488</v>
      </c>
      <c r="C15" s="315" t="s">
        <v>216</v>
      </c>
      <c r="D15" s="327">
        <v>37.192499999999995</v>
      </c>
    </row>
    <row r="16" spans="1:5" x14ac:dyDescent="0.25">
      <c r="A16" s="324">
        <v>90675</v>
      </c>
      <c r="B16" s="312" t="s">
        <v>220</v>
      </c>
      <c r="C16" s="311" t="s">
        <v>204</v>
      </c>
      <c r="D16" s="327">
        <v>258.733</v>
      </c>
    </row>
    <row r="17" spans="1:4" x14ac:dyDescent="0.25">
      <c r="A17" s="325">
        <v>90685</v>
      </c>
      <c r="B17" s="312" t="s">
        <v>2490</v>
      </c>
      <c r="C17" s="314" t="s">
        <v>223</v>
      </c>
      <c r="D17" s="327">
        <v>24.595500000000001</v>
      </c>
    </row>
    <row r="18" spans="1:4" x14ac:dyDescent="0.25">
      <c r="A18" s="325">
        <v>90686</v>
      </c>
      <c r="B18" s="312" t="s">
        <v>2491</v>
      </c>
      <c r="C18" s="314" t="s">
        <v>214</v>
      </c>
      <c r="D18" s="327">
        <v>18.154499999999999</v>
      </c>
    </row>
    <row r="19" spans="1:4" x14ac:dyDescent="0.25">
      <c r="A19" s="325">
        <v>90687</v>
      </c>
      <c r="B19" s="312" t="s">
        <v>2492</v>
      </c>
      <c r="C19" s="314" t="s">
        <v>226</v>
      </c>
      <c r="D19" s="327">
        <v>9.1342499999999998</v>
      </c>
    </row>
    <row r="20" spans="1:4" x14ac:dyDescent="0.25">
      <c r="A20" s="325">
        <v>90688</v>
      </c>
      <c r="B20" s="312" t="s">
        <v>2493</v>
      </c>
      <c r="C20" s="314" t="s">
        <v>216</v>
      </c>
      <c r="D20" s="327">
        <v>18.2685</v>
      </c>
    </row>
    <row r="21" spans="1:4" ht="12.75" customHeight="1" x14ac:dyDescent="0.25">
      <c r="A21" s="324">
        <v>90691</v>
      </c>
      <c r="B21" s="312" t="s">
        <v>2494</v>
      </c>
      <c r="C21" s="311" t="s">
        <v>216</v>
      </c>
      <c r="D21" s="327">
        <v>90.078999999999994</v>
      </c>
    </row>
    <row r="22" spans="1:4" x14ac:dyDescent="0.25">
      <c r="A22" s="324">
        <v>90714</v>
      </c>
      <c r="B22" s="312" t="s">
        <v>2495</v>
      </c>
      <c r="C22" s="311" t="s">
        <v>216</v>
      </c>
      <c r="D22" s="327">
        <v>23.202000000000002</v>
      </c>
    </row>
    <row r="23" spans="1:4" x14ac:dyDescent="0.25">
      <c r="A23" s="324">
        <v>90715</v>
      </c>
      <c r="B23" s="312" t="s">
        <v>2496</v>
      </c>
      <c r="C23" s="311" t="s">
        <v>216</v>
      </c>
      <c r="D23" s="327">
        <v>30.634</v>
      </c>
    </row>
    <row r="24" spans="1:4" x14ac:dyDescent="0.25">
      <c r="A24" s="324">
        <v>90732</v>
      </c>
      <c r="B24" s="312" t="s">
        <v>2497</v>
      </c>
      <c r="C24" s="311" t="s">
        <v>216</v>
      </c>
      <c r="D24" s="327">
        <v>89.944999999999993</v>
      </c>
    </row>
    <row r="25" spans="1:4" x14ac:dyDescent="0.25">
      <c r="A25" s="324">
        <v>90740</v>
      </c>
      <c r="B25" s="312" t="s">
        <v>2498</v>
      </c>
      <c r="C25" s="311" t="s">
        <v>235</v>
      </c>
      <c r="D25" s="327">
        <v>122.95699999999999</v>
      </c>
    </row>
    <row r="26" spans="1:4" x14ac:dyDescent="0.25">
      <c r="A26" s="324">
        <v>90743</v>
      </c>
      <c r="B26" s="312" t="s">
        <v>2180</v>
      </c>
      <c r="C26" s="311" t="s">
        <v>237</v>
      </c>
      <c r="D26" s="327">
        <v>25.391999999999999</v>
      </c>
    </row>
    <row r="27" spans="1:4" x14ac:dyDescent="0.25">
      <c r="A27" s="324">
        <v>90744</v>
      </c>
      <c r="B27" s="312" t="s">
        <v>2499</v>
      </c>
      <c r="C27" s="311" t="s">
        <v>237</v>
      </c>
      <c r="D27" s="327">
        <v>25.391999999999999</v>
      </c>
    </row>
    <row r="28" spans="1:4" x14ac:dyDescent="0.25">
      <c r="A28" s="324">
        <v>90746</v>
      </c>
      <c r="B28" s="312" t="s">
        <v>2500</v>
      </c>
      <c r="C28" s="311" t="s">
        <v>239</v>
      </c>
      <c r="D28" s="327">
        <v>61.475000000000001</v>
      </c>
    </row>
    <row r="29" spans="1:4" x14ac:dyDescent="0.25">
      <c r="A29" s="324">
        <v>90747</v>
      </c>
      <c r="B29" s="312" t="s">
        <v>2501</v>
      </c>
      <c r="C29" s="311" t="s">
        <v>235</v>
      </c>
      <c r="D29" s="327">
        <v>122.95699999999999</v>
      </c>
    </row>
    <row r="30" spans="1:4" x14ac:dyDescent="0.25">
      <c r="A30" s="324" t="s">
        <v>1549</v>
      </c>
      <c r="B30" s="312" t="s">
        <v>2613</v>
      </c>
      <c r="C30" s="311" t="s">
        <v>1810</v>
      </c>
      <c r="D30" s="327">
        <v>0.20499999999999999</v>
      </c>
    </row>
    <row r="31" spans="1:4" x14ac:dyDescent="0.25">
      <c r="A31" s="324" t="s">
        <v>242</v>
      </c>
      <c r="B31" s="312" t="s">
        <v>243</v>
      </c>
      <c r="C31" s="311" t="s">
        <v>204</v>
      </c>
      <c r="D31" s="327">
        <v>1.802</v>
      </c>
    </row>
    <row r="32" spans="1:4" x14ac:dyDescent="0.25">
      <c r="A32" s="324" t="s">
        <v>244</v>
      </c>
      <c r="B32" s="312" t="s">
        <v>245</v>
      </c>
      <c r="C32" s="311" t="s">
        <v>204</v>
      </c>
      <c r="D32" s="327">
        <v>2.0920000000000001</v>
      </c>
    </row>
    <row r="33" spans="1:5" x14ac:dyDescent="0.25">
      <c r="A33" s="324" t="s">
        <v>246</v>
      </c>
      <c r="B33" s="312" t="s">
        <v>247</v>
      </c>
      <c r="C33" s="311" t="s">
        <v>204</v>
      </c>
      <c r="D33" s="327">
        <v>1.998</v>
      </c>
    </row>
    <row r="34" spans="1:5" x14ac:dyDescent="0.25">
      <c r="A34" s="324" t="s">
        <v>248</v>
      </c>
      <c r="B34" s="312" t="s">
        <v>2503</v>
      </c>
      <c r="C34" s="311" t="s">
        <v>204</v>
      </c>
      <c r="D34" s="327">
        <v>1.885</v>
      </c>
    </row>
    <row r="35" spans="1:5" x14ac:dyDescent="0.25">
      <c r="A35" s="326" t="s">
        <v>250</v>
      </c>
      <c r="B35" s="312" t="s">
        <v>251</v>
      </c>
      <c r="C35" s="316" t="s">
        <v>204</v>
      </c>
      <c r="D35" s="327">
        <v>13.974</v>
      </c>
    </row>
    <row r="36" spans="1:5" x14ac:dyDescent="0.25">
      <c r="A36" s="324" t="s">
        <v>2460</v>
      </c>
      <c r="B36" s="312" t="s">
        <v>2461</v>
      </c>
      <c r="C36" s="311" t="s">
        <v>204</v>
      </c>
      <c r="D36" s="327">
        <v>17.802</v>
      </c>
    </row>
    <row r="37" spans="1:5" ht="17.25" customHeight="1" x14ac:dyDescent="0.25">
      <c r="A37" s="324" t="s">
        <v>252</v>
      </c>
      <c r="B37" s="312" t="s">
        <v>253</v>
      </c>
      <c r="C37" s="313" t="s">
        <v>254</v>
      </c>
      <c r="D37" s="327">
        <v>0.38600000000000001</v>
      </c>
    </row>
    <row r="38" spans="1:5" ht="134.25" customHeight="1" x14ac:dyDescent="0.25">
      <c r="A38" s="324" t="s">
        <v>258</v>
      </c>
      <c r="B38" s="312" t="s">
        <v>259</v>
      </c>
      <c r="C38" s="313" t="s">
        <v>260</v>
      </c>
      <c r="D38" s="327" t="s">
        <v>1551</v>
      </c>
      <c r="E38" s="369" t="s">
        <v>2687</v>
      </c>
    </row>
    <row r="39" spans="1:5" x14ac:dyDescent="0.25">
      <c r="A39" s="324" t="s">
        <v>261</v>
      </c>
      <c r="B39" s="312" t="s">
        <v>262</v>
      </c>
      <c r="C39" s="313" t="s">
        <v>199</v>
      </c>
      <c r="D39" s="327">
        <v>41.981000000000002</v>
      </c>
    </row>
    <row r="40" spans="1:5" x14ac:dyDescent="0.25">
      <c r="A40" s="324" t="s">
        <v>263</v>
      </c>
      <c r="B40" s="312" t="s">
        <v>264</v>
      </c>
      <c r="C40" s="311" t="s">
        <v>199</v>
      </c>
      <c r="D40" s="327">
        <v>1142.9449999999999</v>
      </c>
    </row>
    <row r="41" spans="1:5" ht="12.75" customHeight="1" x14ac:dyDescent="0.25">
      <c r="A41" s="324" t="s">
        <v>265</v>
      </c>
      <c r="B41" s="312" t="s">
        <v>266</v>
      </c>
      <c r="C41" s="311" t="s">
        <v>257</v>
      </c>
      <c r="D41" s="327">
        <v>1.5860000000000001</v>
      </c>
    </row>
    <row r="42" spans="1:5" ht="12.75" customHeight="1" x14ac:dyDescent="0.25">
      <c r="A42" s="324" t="s">
        <v>267</v>
      </c>
      <c r="B42" s="312" t="s">
        <v>268</v>
      </c>
      <c r="C42" s="311" t="s">
        <v>200</v>
      </c>
      <c r="D42" s="327">
        <v>7.5999999999999998E-2</v>
      </c>
    </row>
    <row r="43" spans="1:5" x14ac:dyDescent="0.25">
      <c r="A43" s="324" t="s">
        <v>2457</v>
      </c>
      <c r="B43" s="312" t="s">
        <v>2458</v>
      </c>
      <c r="C43" s="311" t="s">
        <v>311</v>
      </c>
      <c r="D43" s="327">
        <v>849.04200000000003</v>
      </c>
    </row>
    <row r="44" spans="1:5" x14ac:dyDescent="0.25">
      <c r="A44" s="324" t="s">
        <v>269</v>
      </c>
      <c r="B44" s="312" t="s">
        <v>270</v>
      </c>
      <c r="C44" s="311" t="s">
        <v>198</v>
      </c>
      <c r="D44" s="327">
        <v>0.66700000000000004</v>
      </c>
    </row>
    <row r="45" spans="1:5" x14ac:dyDescent="0.25">
      <c r="A45" s="324" t="s">
        <v>271</v>
      </c>
      <c r="B45" s="312" t="s">
        <v>272</v>
      </c>
      <c r="C45" s="311" t="s">
        <v>273</v>
      </c>
      <c r="D45" s="327">
        <v>0.14099999999999999</v>
      </c>
    </row>
    <row r="46" spans="1:5" x14ac:dyDescent="0.25">
      <c r="A46" s="324" t="s">
        <v>274</v>
      </c>
      <c r="B46" s="312" t="s">
        <v>2614</v>
      </c>
      <c r="C46" s="311" t="s">
        <v>198</v>
      </c>
      <c r="D46" s="327">
        <v>980.5</v>
      </c>
    </row>
    <row r="47" spans="1:5" x14ac:dyDescent="0.25">
      <c r="A47" s="324" t="s">
        <v>276</v>
      </c>
      <c r="B47" s="312" t="s">
        <v>277</v>
      </c>
      <c r="C47" s="311" t="s">
        <v>198</v>
      </c>
      <c r="D47" s="327">
        <v>164.441</v>
      </c>
    </row>
    <row r="48" spans="1:5" x14ac:dyDescent="0.25">
      <c r="A48" s="325" t="s">
        <v>280</v>
      </c>
      <c r="B48" s="312" t="s">
        <v>2505</v>
      </c>
      <c r="C48" s="314" t="s">
        <v>198</v>
      </c>
      <c r="D48" s="327">
        <v>1734.56</v>
      </c>
    </row>
    <row r="49" spans="1:4" x14ac:dyDescent="0.25">
      <c r="A49" s="324" t="s">
        <v>282</v>
      </c>
      <c r="B49" s="312" t="s">
        <v>283</v>
      </c>
      <c r="C49" s="311" t="s">
        <v>284</v>
      </c>
      <c r="D49" s="327">
        <v>401.42500000000001</v>
      </c>
    </row>
    <row r="50" spans="1:4" x14ac:dyDescent="0.25">
      <c r="A50" s="324" t="s">
        <v>2506</v>
      </c>
      <c r="B50" s="312" t="s">
        <v>2507</v>
      </c>
      <c r="C50" s="311" t="s">
        <v>199</v>
      </c>
      <c r="D50" s="327">
        <v>206.70000000000002</v>
      </c>
    </row>
    <row r="51" spans="1:4" x14ac:dyDescent="0.25">
      <c r="A51" s="324" t="s">
        <v>285</v>
      </c>
      <c r="B51" s="312" t="s">
        <v>286</v>
      </c>
      <c r="C51" s="311" t="s">
        <v>199</v>
      </c>
      <c r="D51" s="327">
        <v>159.37100000000001</v>
      </c>
    </row>
    <row r="52" spans="1:4" x14ac:dyDescent="0.25">
      <c r="A52" s="324" t="s">
        <v>287</v>
      </c>
      <c r="B52" s="312" t="s">
        <v>288</v>
      </c>
      <c r="C52" s="311" t="s">
        <v>199</v>
      </c>
      <c r="D52" s="327">
        <v>4.6059999999999999</v>
      </c>
    </row>
    <row r="53" spans="1:4" x14ac:dyDescent="0.25">
      <c r="A53" s="324" t="s">
        <v>289</v>
      </c>
      <c r="B53" s="312" t="s">
        <v>290</v>
      </c>
      <c r="C53" s="311" t="s">
        <v>199</v>
      </c>
      <c r="D53" s="327">
        <v>4.3780000000000001</v>
      </c>
    </row>
    <row r="54" spans="1:4" x14ac:dyDescent="0.25">
      <c r="A54" s="324" t="s">
        <v>291</v>
      </c>
      <c r="B54" s="312" t="s">
        <v>292</v>
      </c>
      <c r="C54" s="311" t="s">
        <v>257</v>
      </c>
      <c r="D54" s="327">
        <v>1.496</v>
      </c>
    </row>
    <row r="55" spans="1:4" x14ac:dyDescent="0.25">
      <c r="A55" s="324" t="s">
        <v>293</v>
      </c>
      <c r="B55" s="312" t="s">
        <v>2508</v>
      </c>
      <c r="C55" s="311" t="s">
        <v>295</v>
      </c>
      <c r="D55" s="327">
        <v>7.7320000000000002</v>
      </c>
    </row>
    <row r="56" spans="1:4" x14ac:dyDescent="0.25">
      <c r="A56" s="324" t="s">
        <v>296</v>
      </c>
      <c r="B56" s="312" t="s">
        <v>2509</v>
      </c>
      <c r="C56" s="311" t="s">
        <v>209</v>
      </c>
      <c r="D56" s="327">
        <v>24.85</v>
      </c>
    </row>
    <row r="57" spans="1:4" x14ac:dyDescent="0.25">
      <c r="A57" s="324" t="s">
        <v>298</v>
      </c>
      <c r="B57" s="312" t="s">
        <v>299</v>
      </c>
      <c r="C57" s="311" t="s">
        <v>199</v>
      </c>
      <c r="D57" s="327">
        <v>13.134</v>
      </c>
    </row>
    <row r="58" spans="1:4" x14ac:dyDescent="0.25">
      <c r="A58" s="324" t="s">
        <v>300</v>
      </c>
      <c r="B58" s="312" t="s">
        <v>301</v>
      </c>
      <c r="C58" s="311" t="s">
        <v>199</v>
      </c>
      <c r="D58" s="327">
        <v>18.771000000000001</v>
      </c>
    </row>
    <row r="59" spans="1:4" x14ac:dyDescent="0.25">
      <c r="A59" s="324" t="s">
        <v>302</v>
      </c>
      <c r="B59" s="312" t="s">
        <v>2510</v>
      </c>
      <c r="C59" s="311" t="s">
        <v>284</v>
      </c>
      <c r="D59" s="327">
        <v>1.591</v>
      </c>
    </row>
    <row r="60" spans="1:4" x14ac:dyDescent="0.25">
      <c r="A60" s="324" t="s">
        <v>304</v>
      </c>
      <c r="B60" s="312" t="s">
        <v>2400</v>
      </c>
      <c r="C60" s="311" t="s">
        <v>306</v>
      </c>
      <c r="D60" s="327">
        <v>2.6909999999999998</v>
      </c>
    </row>
    <row r="61" spans="1:4" x14ac:dyDescent="0.25">
      <c r="A61" s="324" t="s">
        <v>307</v>
      </c>
      <c r="B61" s="312" t="s">
        <v>308</v>
      </c>
      <c r="C61" s="311" t="s">
        <v>198</v>
      </c>
      <c r="D61" s="327">
        <v>0.52900000000000003</v>
      </c>
    </row>
    <row r="62" spans="1:4" x14ac:dyDescent="0.25">
      <c r="A62" s="324" t="s">
        <v>309</v>
      </c>
      <c r="B62" s="312" t="s">
        <v>310</v>
      </c>
      <c r="C62" s="311" t="s">
        <v>311</v>
      </c>
      <c r="D62" s="327">
        <v>5.0350000000000001</v>
      </c>
    </row>
    <row r="63" spans="1:4" x14ac:dyDescent="0.25">
      <c r="A63" s="324" t="s">
        <v>2511</v>
      </c>
      <c r="B63" s="312" t="s">
        <v>2512</v>
      </c>
      <c r="C63" s="311" t="s">
        <v>458</v>
      </c>
      <c r="D63" s="327">
        <v>0.75667692307692302</v>
      </c>
    </row>
    <row r="64" spans="1:4" x14ac:dyDescent="0.25">
      <c r="A64" s="324" t="s">
        <v>312</v>
      </c>
      <c r="B64" s="312" t="s">
        <v>2513</v>
      </c>
      <c r="C64" s="311" t="s">
        <v>198</v>
      </c>
      <c r="D64" s="327">
        <v>4.3959999999999999</v>
      </c>
    </row>
    <row r="65" spans="1:4" x14ac:dyDescent="0.25">
      <c r="A65" s="324" t="s">
        <v>314</v>
      </c>
      <c r="B65" s="312" t="s">
        <v>315</v>
      </c>
      <c r="C65" s="311" t="s">
        <v>284</v>
      </c>
      <c r="D65" s="327">
        <v>4.343</v>
      </c>
    </row>
    <row r="66" spans="1:4" x14ac:dyDescent="0.25">
      <c r="A66" s="324" t="s">
        <v>316</v>
      </c>
      <c r="B66" s="312" t="s">
        <v>317</v>
      </c>
      <c r="C66" s="311" t="s">
        <v>318</v>
      </c>
      <c r="D66" s="327">
        <v>4.3999999999999997E-2</v>
      </c>
    </row>
    <row r="67" spans="1:4" x14ac:dyDescent="0.25">
      <c r="A67" s="324" t="s">
        <v>319</v>
      </c>
      <c r="B67" s="312" t="s">
        <v>320</v>
      </c>
      <c r="C67" s="311" t="s">
        <v>257</v>
      </c>
      <c r="D67" s="327">
        <v>41.53</v>
      </c>
    </row>
    <row r="68" spans="1:4" x14ac:dyDescent="0.25">
      <c r="A68" s="324" t="s">
        <v>321</v>
      </c>
      <c r="B68" s="312" t="s">
        <v>2514</v>
      </c>
      <c r="C68" s="311" t="s">
        <v>199</v>
      </c>
      <c r="D68" s="327">
        <v>178.02500000000001</v>
      </c>
    </row>
    <row r="69" spans="1:4" x14ac:dyDescent="0.25">
      <c r="A69" s="324" t="s">
        <v>323</v>
      </c>
      <c r="B69" s="312" t="s">
        <v>324</v>
      </c>
      <c r="C69" s="311" t="s">
        <v>325</v>
      </c>
      <c r="D69" s="327">
        <v>77.027000000000001</v>
      </c>
    </row>
    <row r="70" spans="1:4" x14ac:dyDescent="0.25">
      <c r="A70" s="324" t="s">
        <v>326</v>
      </c>
      <c r="B70" s="312" t="s">
        <v>327</v>
      </c>
      <c r="C70" s="311" t="s">
        <v>311</v>
      </c>
      <c r="D70" s="327">
        <v>3180.2139999999999</v>
      </c>
    </row>
    <row r="71" spans="1:4" x14ac:dyDescent="0.25">
      <c r="A71" s="324" t="s">
        <v>328</v>
      </c>
      <c r="B71" s="312" t="s">
        <v>329</v>
      </c>
      <c r="C71" s="311" t="s">
        <v>198</v>
      </c>
      <c r="D71" s="327">
        <v>3.843</v>
      </c>
    </row>
    <row r="72" spans="1:4" x14ac:dyDescent="0.25">
      <c r="A72" s="326" t="s">
        <v>330</v>
      </c>
      <c r="B72" s="312" t="s">
        <v>331</v>
      </c>
      <c r="C72" s="316" t="s">
        <v>199</v>
      </c>
      <c r="D72" s="327">
        <v>42.087000000000003</v>
      </c>
    </row>
    <row r="73" spans="1:4" x14ac:dyDescent="0.25">
      <c r="A73" s="324" t="s">
        <v>332</v>
      </c>
      <c r="B73" s="312" t="s">
        <v>333</v>
      </c>
      <c r="C73" s="311" t="s">
        <v>311</v>
      </c>
      <c r="D73" s="327">
        <v>63.506999999999998</v>
      </c>
    </row>
    <row r="74" spans="1:4" x14ac:dyDescent="0.25">
      <c r="A74" s="324" t="s">
        <v>334</v>
      </c>
      <c r="B74" s="312" t="s">
        <v>335</v>
      </c>
      <c r="C74" s="311" t="s">
        <v>198</v>
      </c>
      <c r="D74" s="327">
        <v>24.728000000000002</v>
      </c>
    </row>
    <row r="75" spans="1:4" x14ac:dyDescent="0.25">
      <c r="A75" s="324" t="s">
        <v>338</v>
      </c>
      <c r="B75" s="312" t="s">
        <v>2515</v>
      </c>
      <c r="C75" s="311" t="s">
        <v>340</v>
      </c>
      <c r="D75" s="327">
        <v>7.4349999999999996</v>
      </c>
    </row>
    <row r="76" spans="1:4" x14ac:dyDescent="0.25">
      <c r="A76" s="324" t="s">
        <v>341</v>
      </c>
      <c r="B76" s="312" t="s">
        <v>342</v>
      </c>
      <c r="C76" s="311" t="s">
        <v>340</v>
      </c>
      <c r="D76" s="327">
        <v>9.5190000000000001</v>
      </c>
    </row>
    <row r="77" spans="1:4" x14ac:dyDescent="0.25">
      <c r="A77" s="324" t="s">
        <v>348</v>
      </c>
      <c r="B77" s="312" t="s">
        <v>349</v>
      </c>
      <c r="C77" s="311" t="s">
        <v>198</v>
      </c>
      <c r="D77" s="327">
        <v>1.8959999999999999</v>
      </c>
    </row>
    <row r="78" spans="1:4" x14ac:dyDescent="0.25">
      <c r="A78" s="324" t="s">
        <v>352</v>
      </c>
      <c r="B78" s="312" t="s">
        <v>2516</v>
      </c>
      <c r="C78" s="311" t="s">
        <v>354</v>
      </c>
      <c r="D78" s="327">
        <v>5.8369999999999997</v>
      </c>
    </row>
    <row r="79" spans="1:4" x14ac:dyDescent="0.25">
      <c r="A79" s="326" t="s">
        <v>355</v>
      </c>
      <c r="B79" s="312" t="s">
        <v>2517</v>
      </c>
      <c r="C79" s="311" t="s">
        <v>357</v>
      </c>
      <c r="D79" s="327">
        <v>7.71</v>
      </c>
    </row>
    <row r="80" spans="1:4" x14ac:dyDescent="0.25">
      <c r="A80" s="324" t="s">
        <v>358</v>
      </c>
      <c r="B80" s="312" t="s">
        <v>2518</v>
      </c>
      <c r="C80" s="311" t="s">
        <v>360</v>
      </c>
      <c r="D80" s="327">
        <v>11.624000000000001</v>
      </c>
    </row>
    <row r="81" spans="1:4" x14ac:dyDescent="0.25">
      <c r="A81" s="324" t="s">
        <v>361</v>
      </c>
      <c r="B81" s="312" t="s">
        <v>2519</v>
      </c>
      <c r="C81" s="316" t="s">
        <v>354</v>
      </c>
      <c r="D81" s="327">
        <v>4.9130000000000003</v>
      </c>
    </row>
    <row r="82" spans="1:4" x14ac:dyDescent="0.25">
      <c r="A82" s="324" t="s">
        <v>363</v>
      </c>
      <c r="B82" s="312" t="s">
        <v>364</v>
      </c>
      <c r="C82" s="311" t="s">
        <v>273</v>
      </c>
      <c r="D82" s="327">
        <v>3.3479999999999999</v>
      </c>
    </row>
    <row r="83" spans="1:4" x14ac:dyDescent="0.25">
      <c r="A83" s="324" t="s">
        <v>365</v>
      </c>
      <c r="B83" s="312" t="s">
        <v>366</v>
      </c>
      <c r="C83" s="311" t="s">
        <v>198</v>
      </c>
      <c r="D83" s="327">
        <v>35.21</v>
      </c>
    </row>
    <row r="84" spans="1:4" x14ac:dyDescent="0.25">
      <c r="A84" s="324" t="s">
        <v>367</v>
      </c>
      <c r="B84" s="312" t="s">
        <v>368</v>
      </c>
      <c r="C84" s="311" t="s">
        <v>198</v>
      </c>
      <c r="D84" s="327">
        <v>2.347</v>
      </c>
    </row>
    <row r="85" spans="1:4" x14ac:dyDescent="0.25">
      <c r="A85" s="324" t="s">
        <v>372</v>
      </c>
      <c r="B85" s="312" t="s">
        <v>373</v>
      </c>
      <c r="C85" s="311" t="s">
        <v>371</v>
      </c>
      <c r="D85" s="327">
        <v>46.529000000000003</v>
      </c>
    </row>
    <row r="86" spans="1:4" x14ac:dyDescent="0.25">
      <c r="A86" s="324" t="s">
        <v>374</v>
      </c>
      <c r="B86" s="313" t="s">
        <v>375</v>
      </c>
      <c r="C86" s="316" t="s">
        <v>371</v>
      </c>
      <c r="D86" s="327">
        <v>54.848999999999997</v>
      </c>
    </row>
    <row r="87" spans="1:4" x14ac:dyDescent="0.25">
      <c r="A87" s="324" t="s">
        <v>376</v>
      </c>
      <c r="B87" s="312" t="s">
        <v>377</v>
      </c>
      <c r="C87" s="311" t="s">
        <v>378</v>
      </c>
      <c r="D87" s="327">
        <v>5594.4219999999996</v>
      </c>
    </row>
    <row r="88" spans="1:4" x14ac:dyDescent="0.25">
      <c r="A88" s="324" t="s">
        <v>379</v>
      </c>
      <c r="B88" s="312" t="s">
        <v>380</v>
      </c>
      <c r="C88" s="311" t="s">
        <v>381</v>
      </c>
      <c r="D88" s="327">
        <v>2.9860000000000002</v>
      </c>
    </row>
    <row r="89" spans="1:4" x14ac:dyDescent="0.25">
      <c r="A89" s="324" t="s">
        <v>382</v>
      </c>
      <c r="B89" s="312" t="s">
        <v>383</v>
      </c>
      <c r="C89" s="311" t="s">
        <v>384</v>
      </c>
      <c r="D89" s="327">
        <v>2328.12</v>
      </c>
    </row>
    <row r="90" spans="1:4" x14ac:dyDescent="0.25">
      <c r="A90" s="324" t="s">
        <v>385</v>
      </c>
      <c r="B90" s="312" t="s">
        <v>386</v>
      </c>
      <c r="C90" s="311" t="s">
        <v>387</v>
      </c>
      <c r="D90" s="327">
        <v>0.40400000000000003</v>
      </c>
    </row>
    <row r="91" spans="1:4" x14ac:dyDescent="0.25">
      <c r="A91" s="324" t="s">
        <v>388</v>
      </c>
      <c r="B91" s="312" t="s">
        <v>389</v>
      </c>
      <c r="C91" s="311" t="s">
        <v>200</v>
      </c>
      <c r="D91" s="327">
        <v>11.906000000000001</v>
      </c>
    </row>
    <row r="92" spans="1:4" x14ac:dyDescent="0.25">
      <c r="A92" s="324" t="s">
        <v>390</v>
      </c>
      <c r="B92" s="312" t="s">
        <v>391</v>
      </c>
      <c r="C92" s="311" t="s">
        <v>198</v>
      </c>
      <c r="D92" s="327">
        <v>92.421000000000006</v>
      </c>
    </row>
    <row r="93" spans="1:4" x14ac:dyDescent="0.25">
      <c r="A93" s="324" t="s">
        <v>392</v>
      </c>
      <c r="B93" s="312" t="s">
        <v>393</v>
      </c>
      <c r="C93" s="311" t="s">
        <v>209</v>
      </c>
      <c r="D93" s="327">
        <v>3.4660000000000002</v>
      </c>
    </row>
    <row r="94" spans="1:4" x14ac:dyDescent="0.25">
      <c r="A94" s="324" t="s">
        <v>394</v>
      </c>
      <c r="B94" s="312" t="s">
        <v>395</v>
      </c>
      <c r="C94" s="311" t="s">
        <v>396</v>
      </c>
      <c r="D94" s="327">
        <v>1.0900000000000001</v>
      </c>
    </row>
    <row r="95" spans="1:4" x14ac:dyDescent="0.25">
      <c r="A95" s="324" t="s">
        <v>397</v>
      </c>
      <c r="B95" s="312" t="s">
        <v>2520</v>
      </c>
      <c r="C95" s="311" t="s">
        <v>381</v>
      </c>
      <c r="D95" s="327">
        <v>2.4209999999999998</v>
      </c>
    </row>
    <row r="96" spans="1:4" x14ac:dyDescent="0.25">
      <c r="A96" s="324" t="s">
        <v>399</v>
      </c>
      <c r="B96" s="312" t="s">
        <v>400</v>
      </c>
      <c r="C96" s="311" t="s">
        <v>284</v>
      </c>
      <c r="D96" s="327">
        <v>0.95599999999999996</v>
      </c>
    </row>
    <row r="97" spans="1:4" x14ac:dyDescent="0.25">
      <c r="A97" s="324" t="s">
        <v>401</v>
      </c>
      <c r="B97" s="312" t="s">
        <v>2521</v>
      </c>
      <c r="C97" s="311" t="s">
        <v>284</v>
      </c>
      <c r="D97" s="327">
        <v>2.4079999999999999</v>
      </c>
    </row>
    <row r="98" spans="1:4" x14ac:dyDescent="0.25">
      <c r="A98" s="324" t="s">
        <v>403</v>
      </c>
      <c r="B98" s="312" t="s">
        <v>404</v>
      </c>
      <c r="C98" s="311" t="s">
        <v>405</v>
      </c>
      <c r="D98" s="327">
        <v>4.3380000000000001</v>
      </c>
    </row>
    <row r="99" spans="1:4" x14ac:dyDescent="0.25">
      <c r="A99" s="324" t="s">
        <v>409</v>
      </c>
      <c r="B99" s="312" t="s">
        <v>410</v>
      </c>
      <c r="C99" s="311" t="s">
        <v>295</v>
      </c>
      <c r="D99" s="327">
        <v>0.495</v>
      </c>
    </row>
    <row r="100" spans="1:4" x14ac:dyDescent="0.25">
      <c r="A100" s="324" t="s">
        <v>411</v>
      </c>
      <c r="B100" s="312" t="s">
        <v>412</v>
      </c>
      <c r="C100" s="311" t="s">
        <v>413</v>
      </c>
      <c r="D100" s="327">
        <v>3.9060000000000001</v>
      </c>
    </row>
    <row r="101" spans="1:4" x14ac:dyDescent="0.25">
      <c r="A101" s="324" t="s">
        <v>414</v>
      </c>
      <c r="B101" s="312" t="s">
        <v>415</v>
      </c>
      <c r="C101" s="311" t="s">
        <v>405</v>
      </c>
      <c r="D101" s="327">
        <v>0.53600000000000003</v>
      </c>
    </row>
    <row r="102" spans="1:4" x14ac:dyDescent="0.25">
      <c r="A102" s="324" t="s">
        <v>416</v>
      </c>
      <c r="B102" s="312" t="s">
        <v>417</v>
      </c>
      <c r="C102" s="311" t="s">
        <v>418</v>
      </c>
      <c r="D102" s="327">
        <v>6.01</v>
      </c>
    </row>
    <row r="103" spans="1:4" x14ac:dyDescent="0.25">
      <c r="A103" s="324" t="s">
        <v>419</v>
      </c>
      <c r="B103" s="312" t="s">
        <v>420</v>
      </c>
      <c r="C103" s="311" t="s">
        <v>199</v>
      </c>
      <c r="D103" s="327">
        <v>2.464</v>
      </c>
    </row>
    <row r="104" spans="1:4" x14ac:dyDescent="0.25">
      <c r="A104" s="324" t="s">
        <v>421</v>
      </c>
      <c r="B104" s="312" t="s">
        <v>422</v>
      </c>
      <c r="C104" s="311" t="s">
        <v>284</v>
      </c>
      <c r="D104" s="327">
        <v>2.4769999999999999</v>
      </c>
    </row>
    <row r="105" spans="1:4" x14ac:dyDescent="0.25">
      <c r="A105" s="326" t="s">
        <v>426</v>
      </c>
      <c r="B105" s="312" t="s">
        <v>2522</v>
      </c>
      <c r="C105" s="311" t="s">
        <v>198</v>
      </c>
      <c r="D105" s="327">
        <v>7.0609999999999999</v>
      </c>
    </row>
    <row r="106" spans="1:4" x14ac:dyDescent="0.25">
      <c r="A106" s="324" t="s">
        <v>428</v>
      </c>
      <c r="B106" s="312" t="s">
        <v>429</v>
      </c>
      <c r="C106" s="311" t="s">
        <v>405</v>
      </c>
      <c r="D106" s="327">
        <v>41.255200000000002</v>
      </c>
    </row>
    <row r="107" spans="1:4" x14ac:dyDescent="0.25">
      <c r="A107" s="324" t="s">
        <v>430</v>
      </c>
      <c r="B107" s="312" t="s">
        <v>431</v>
      </c>
      <c r="C107" s="311" t="s">
        <v>432</v>
      </c>
      <c r="D107" s="327">
        <v>19.337</v>
      </c>
    </row>
    <row r="108" spans="1:4" x14ac:dyDescent="0.25">
      <c r="A108" s="324" t="s">
        <v>433</v>
      </c>
      <c r="B108" s="312" t="s">
        <v>434</v>
      </c>
      <c r="C108" s="311" t="s">
        <v>198</v>
      </c>
      <c r="D108" s="327">
        <v>13.975</v>
      </c>
    </row>
    <row r="109" spans="1:4" x14ac:dyDescent="0.25">
      <c r="A109" s="324" t="s">
        <v>435</v>
      </c>
      <c r="B109" s="312" t="s">
        <v>436</v>
      </c>
      <c r="C109" s="311" t="s">
        <v>437</v>
      </c>
      <c r="D109" s="327">
        <v>585.75099999999998</v>
      </c>
    </row>
    <row r="110" spans="1:4" x14ac:dyDescent="0.25">
      <c r="A110" s="324" t="s">
        <v>438</v>
      </c>
      <c r="B110" s="312" t="s">
        <v>439</v>
      </c>
      <c r="C110" s="311" t="s">
        <v>295</v>
      </c>
      <c r="D110" s="327">
        <v>6.9340000000000002</v>
      </c>
    </row>
    <row r="111" spans="1:4" x14ac:dyDescent="0.25">
      <c r="A111" s="324" t="s">
        <v>440</v>
      </c>
      <c r="B111" s="312" t="s">
        <v>441</v>
      </c>
      <c r="C111" s="311" t="s">
        <v>442</v>
      </c>
      <c r="D111" s="327">
        <v>1.4870000000000001</v>
      </c>
    </row>
    <row r="112" spans="1:4" x14ac:dyDescent="0.25">
      <c r="A112" s="324" t="s">
        <v>443</v>
      </c>
      <c r="B112" s="312" t="s">
        <v>444</v>
      </c>
      <c r="C112" s="311" t="s">
        <v>445</v>
      </c>
      <c r="D112" s="327">
        <v>11.079000000000001</v>
      </c>
    </row>
    <row r="113" spans="1:4" x14ac:dyDescent="0.25">
      <c r="A113" s="324" t="s">
        <v>446</v>
      </c>
      <c r="B113" s="312" t="s">
        <v>447</v>
      </c>
      <c r="C113" s="311" t="s">
        <v>318</v>
      </c>
      <c r="D113" s="327">
        <v>40.033999999999999</v>
      </c>
    </row>
    <row r="114" spans="1:4" x14ac:dyDescent="0.25">
      <c r="A114" s="324" t="s">
        <v>448</v>
      </c>
      <c r="B114" s="312" t="s">
        <v>449</v>
      </c>
      <c r="C114" s="311" t="s">
        <v>199</v>
      </c>
      <c r="D114" s="327">
        <v>12.587</v>
      </c>
    </row>
    <row r="115" spans="1:4" x14ac:dyDescent="0.25">
      <c r="A115" s="324" t="s">
        <v>450</v>
      </c>
      <c r="B115" s="312" t="s">
        <v>451</v>
      </c>
      <c r="C115" s="311" t="s">
        <v>452</v>
      </c>
      <c r="D115" s="327">
        <v>8.0510000000000002</v>
      </c>
    </row>
    <row r="116" spans="1:4" x14ac:dyDescent="0.25">
      <c r="A116" s="324" t="s">
        <v>453</v>
      </c>
      <c r="B116" s="312" t="s">
        <v>454</v>
      </c>
      <c r="C116" s="311" t="s">
        <v>455</v>
      </c>
      <c r="D116" s="327">
        <v>3561.078</v>
      </c>
    </row>
    <row r="117" spans="1:4" x14ac:dyDescent="0.25">
      <c r="A117" s="324" t="s">
        <v>456</v>
      </c>
      <c r="B117" s="312" t="s">
        <v>2401</v>
      </c>
      <c r="C117" s="311" t="s">
        <v>458</v>
      </c>
      <c r="D117" s="327">
        <v>41.475999999999999</v>
      </c>
    </row>
    <row r="118" spans="1:4" x14ac:dyDescent="0.25">
      <c r="A118" s="326" t="s">
        <v>459</v>
      </c>
      <c r="B118" s="312" t="s">
        <v>460</v>
      </c>
      <c r="C118" s="311" t="s">
        <v>461</v>
      </c>
      <c r="D118" s="327">
        <v>2670.2350000000001</v>
      </c>
    </row>
    <row r="119" spans="1:4" x14ac:dyDescent="0.25">
      <c r="A119" s="324" t="s">
        <v>462</v>
      </c>
      <c r="B119" s="312" t="s">
        <v>2523</v>
      </c>
      <c r="C119" s="311" t="s">
        <v>464</v>
      </c>
      <c r="D119" s="327">
        <v>1126.963</v>
      </c>
    </row>
    <row r="120" spans="1:4" x14ac:dyDescent="0.25">
      <c r="A120" s="325" t="s">
        <v>465</v>
      </c>
      <c r="B120" s="312" t="s">
        <v>466</v>
      </c>
      <c r="C120" s="314" t="s">
        <v>200</v>
      </c>
      <c r="D120" s="327">
        <v>15.084</v>
      </c>
    </row>
    <row r="121" spans="1:4" x14ac:dyDescent="0.25">
      <c r="A121" s="324" t="s">
        <v>467</v>
      </c>
      <c r="B121" s="312" t="s">
        <v>468</v>
      </c>
      <c r="C121" s="311" t="s">
        <v>198</v>
      </c>
      <c r="D121" s="327">
        <v>0.89900000000000002</v>
      </c>
    </row>
    <row r="122" spans="1:4" x14ac:dyDescent="0.25">
      <c r="A122" s="324" t="s">
        <v>469</v>
      </c>
      <c r="B122" s="312" t="s">
        <v>470</v>
      </c>
      <c r="C122" s="311" t="s">
        <v>452</v>
      </c>
      <c r="D122" s="327">
        <v>4.0119999999999996</v>
      </c>
    </row>
    <row r="123" spans="1:4" x14ac:dyDescent="0.25">
      <c r="A123" s="324" t="s">
        <v>471</v>
      </c>
      <c r="B123" s="312" t="s">
        <v>472</v>
      </c>
      <c r="C123" s="311" t="s">
        <v>452</v>
      </c>
      <c r="D123" s="327">
        <v>4.0119999999999996</v>
      </c>
    </row>
    <row r="124" spans="1:4" x14ac:dyDescent="0.25">
      <c r="A124" s="324" t="s">
        <v>473</v>
      </c>
      <c r="B124" s="312" t="s">
        <v>474</v>
      </c>
      <c r="C124" s="311" t="s">
        <v>432</v>
      </c>
      <c r="D124" s="327">
        <v>12.518000000000001</v>
      </c>
    </row>
    <row r="125" spans="1:4" x14ac:dyDescent="0.25">
      <c r="A125" s="324" t="s">
        <v>475</v>
      </c>
      <c r="B125" s="312" t="s">
        <v>476</v>
      </c>
      <c r="C125" s="323" t="s">
        <v>452</v>
      </c>
      <c r="D125" s="327">
        <v>1.6890000000000001</v>
      </c>
    </row>
    <row r="126" spans="1:4" x14ac:dyDescent="0.25">
      <c r="A126" s="324" t="s">
        <v>477</v>
      </c>
      <c r="B126" s="312" t="s">
        <v>478</v>
      </c>
      <c r="C126" s="323" t="s">
        <v>452</v>
      </c>
      <c r="D126" s="327">
        <v>1.6890000000000001</v>
      </c>
    </row>
    <row r="127" spans="1:4" x14ac:dyDescent="0.25">
      <c r="A127" s="324" t="s">
        <v>479</v>
      </c>
      <c r="B127" s="312" t="s">
        <v>480</v>
      </c>
      <c r="C127" s="311" t="s">
        <v>198</v>
      </c>
      <c r="D127" s="327">
        <v>21.824999999999999</v>
      </c>
    </row>
    <row r="128" spans="1:4" x14ac:dyDescent="0.25">
      <c r="A128" s="324" t="s">
        <v>481</v>
      </c>
      <c r="B128" s="312" t="s">
        <v>482</v>
      </c>
      <c r="C128" s="311" t="s">
        <v>284</v>
      </c>
      <c r="D128" s="327">
        <v>8.8810000000000002</v>
      </c>
    </row>
    <row r="129" spans="1:4" x14ac:dyDescent="0.25">
      <c r="A129" s="324" t="s">
        <v>483</v>
      </c>
      <c r="B129" s="312" t="s">
        <v>484</v>
      </c>
      <c r="C129" s="311" t="s">
        <v>198</v>
      </c>
      <c r="D129" s="327">
        <v>16.113</v>
      </c>
    </row>
    <row r="130" spans="1:4" x14ac:dyDescent="0.25">
      <c r="A130" s="324" t="s">
        <v>485</v>
      </c>
      <c r="B130" s="312" t="s">
        <v>486</v>
      </c>
      <c r="C130" s="311" t="s">
        <v>200</v>
      </c>
      <c r="D130" s="327">
        <v>15.688000000000001</v>
      </c>
    </row>
    <row r="131" spans="1:4" x14ac:dyDescent="0.25">
      <c r="A131" s="324" t="s">
        <v>487</v>
      </c>
      <c r="B131" s="312" t="s">
        <v>2524</v>
      </c>
      <c r="C131" s="311" t="s">
        <v>311</v>
      </c>
      <c r="D131" s="327">
        <v>4.7539999999999996</v>
      </c>
    </row>
    <row r="132" spans="1:4" x14ac:dyDescent="0.25">
      <c r="A132" s="324" t="s">
        <v>489</v>
      </c>
      <c r="B132" s="312" t="s">
        <v>2525</v>
      </c>
      <c r="C132" s="311" t="s">
        <v>491</v>
      </c>
      <c r="D132" s="327">
        <v>4.9539999999999997</v>
      </c>
    </row>
    <row r="133" spans="1:4" x14ac:dyDescent="0.25">
      <c r="A133" s="324" t="s">
        <v>492</v>
      </c>
      <c r="B133" s="312" t="s">
        <v>2526</v>
      </c>
      <c r="C133" s="311" t="s">
        <v>494</v>
      </c>
      <c r="D133" s="327">
        <v>9.4779999999999998</v>
      </c>
    </row>
    <row r="134" spans="1:4" x14ac:dyDescent="0.25">
      <c r="A134" s="324" t="s">
        <v>495</v>
      </c>
      <c r="B134" s="312" t="s">
        <v>496</v>
      </c>
      <c r="C134" s="311" t="s">
        <v>198</v>
      </c>
      <c r="D134" s="327">
        <v>0.38400000000000001</v>
      </c>
    </row>
    <row r="135" spans="1:4" x14ac:dyDescent="0.25">
      <c r="A135" s="324" t="s">
        <v>497</v>
      </c>
      <c r="B135" s="312" t="s">
        <v>498</v>
      </c>
      <c r="C135" s="311" t="s">
        <v>198</v>
      </c>
      <c r="D135" s="327">
        <v>2.9000000000000001E-2</v>
      </c>
    </row>
    <row r="136" spans="1:4" x14ac:dyDescent="0.25">
      <c r="A136" s="324" t="s">
        <v>499</v>
      </c>
      <c r="B136" s="312" t="s">
        <v>500</v>
      </c>
      <c r="C136" s="311" t="s">
        <v>198</v>
      </c>
      <c r="D136" s="327">
        <v>0.123</v>
      </c>
    </row>
    <row r="137" spans="1:4" x14ac:dyDescent="0.25">
      <c r="A137" s="324" t="s">
        <v>501</v>
      </c>
      <c r="B137" s="312" t="s">
        <v>502</v>
      </c>
      <c r="C137" s="311" t="s">
        <v>198</v>
      </c>
      <c r="D137" s="327">
        <v>58.613999999999997</v>
      </c>
    </row>
    <row r="138" spans="1:4" x14ac:dyDescent="0.25">
      <c r="A138" s="324" t="s">
        <v>503</v>
      </c>
      <c r="B138" s="312" t="s">
        <v>504</v>
      </c>
      <c r="C138" s="311" t="s">
        <v>284</v>
      </c>
      <c r="D138" s="327">
        <v>20.565999999999999</v>
      </c>
    </row>
    <row r="139" spans="1:4" x14ac:dyDescent="0.25">
      <c r="A139" s="324" t="s">
        <v>505</v>
      </c>
      <c r="B139" s="312" t="s">
        <v>506</v>
      </c>
      <c r="C139" s="311" t="s">
        <v>396</v>
      </c>
      <c r="D139" s="327">
        <v>4.9630000000000001</v>
      </c>
    </row>
    <row r="140" spans="1:4" x14ac:dyDescent="0.25">
      <c r="A140" s="324" t="s">
        <v>507</v>
      </c>
      <c r="B140" s="312" t="s">
        <v>508</v>
      </c>
      <c r="C140" s="311" t="s">
        <v>464</v>
      </c>
      <c r="D140" s="327">
        <v>3039.529</v>
      </c>
    </row>
    <row r="141" spans="1:4" x14ac:dyDescent="0.25">
      <c r="A141" s="324" t="s">
        <v>509</v>
      </c>
      <c r="B141" s="312" t="s">
        <v>510</v>
      </c>
      <c r="C141" s="311" t="s">
        <v>209</v>
      </c>
      <c r="D141" s="327">
        <v>0.53</v>
      </c>
    </row>
    <row r="142" spans="1:4" x14ac:dyDescent="0.25">
      <c r="A142" s="324" t="s">
        <v>511</v>
      </c>
      <c r="B142" s="312" t="s">
        <v>512</v>
      </c>
      <c r="C142" s="311" t="s">
        <v>513</v>
      </c>
      <c r="D142" s="327">
        <v>1.96</v>
      </c>
    </row>
    <row r="143" spans="1:4" x14ac:dyDescent="0.25">
      <c r="A143" s="324" t="s">
        <v>514</v>
      </c>
      <c r="B143" s="312" t="s">
        <v>2527</v>
      </c>
      <c r="C143" s="311" t="s">
        <v>295</v>
      </c>
      <c r="D143" s="327">
        <v>181.01400000000001</v>
      </c>
    </row>
    <row r="144" spans="1:4" x14ac:dyDescent="0.25">
      <c r="A144" s="324" t="s">
        <v>516</v>
      </c>
      <c r="B144" s="312" t="s">
        <v>517</v>
      </c>
      <c r="C144" s="311" t="s">
        <v>209</v>
      </c>
      <c r="D144" s="327">
        <v>0.52300000000000002</v>
      </c>
    </row>
    <row r="145" spans="1:4" x14ac:dyDescent="0.25">
      <c r="A145" s="324" t="s">
        <v>518</v>
      </c>
      <c r="B145" s="312" t="s">
        <v>519</v>
      </c>
      <c r="C145" s="311" t="s">
        <v>284</v>
      </c>
      <c r="D145" s="327">
        <v>91.628</v>
      </c>
    </row>
    <row r="146" spans="1:4" x14ac:dyDescent="0.25">
      <c r="A146" s="324" t="s">
        <v>520</v>
      </c>
      <c r="B146" s="312" t="s">
        <v>2528</v>
      </c>
      <c r="C146" s="311" t="s">
        <v>522</v>
      </c>
      <c r="D146" s="327">
        <v>450.012</v>
      </c>
    </row>
    <row r="147" spans="1:4" x14ac:dyDescent="0.25">
      <c r="A147" s="324" t="s">
        <v>523</v>
      </c>
      <c r="B147" s="312" t="s">
        <v>524</v>
      </c>
      <c r="C147" s="311" t="s">
        <v>199</v>
      </c>
      <c r="D147" s="327">
        <v>12.776999999999999</v>
      </c>
    </row>
    <row r="148" spans="1:4" x14ac:dyDescent="0.25">
      <c r="A148" s="324" t="s">
        <v>525</v>
      </c>
      <c r="B148" s="312" t="s">
        <v>526</v>
      </c>
      <c r="C148" s="311" t="s">
        <v>209</v>
      </c>
      <c r="D148" s="327">
        <v>5.6879999999999997</v>
      </c>
    </row>
    <row r="149" spans="1:4" x14ac:dyDescent="0.25">
      <c r="A149" s="324" t="s">
        <v>527</v>
      </c>
      <c r="B149" s="312" t="s">
        <v>528</v>
      </c>
      <c r="C149" s="311" t="s">
        <v>199</v>
      </c>
      <c r="D149" s="327">
        <v>0.82799999999999996</v>
      </c>
    </row>
    <row r="150" spans="1:4" x14ac:dyDescent="0.25">
      <c r="A150" s="324" t="s">
        <v>529</v>
      </c>
      <c r="B150" s="312" t="s">
        <v>2529</v>
      </c>
      <c r="C150" s="311" t="s">
        <v>295</v>
      </c>
      <c r="D150" s="327">
        <v>5.4189999999999996</v>
      </c>
    </row>
    <row r="151" spans="1:4" x14ac:dyDescent="0.25">
      <c r="A151" s="324" t="s">
        <v>1707</v>
      </c>
      <c r="B151" s="312" t="s">
        <v>2530</v>
      </c>
      <c r="C151" s="311" t="s">
        <v>199</v>
      </c>
      <c r="D151" s="327">
        <v>6.093</v>
      </c>
    </row>
    <row r="152" spans="1:4" x14ac:dyDescent="0.25">
      <c r="A152" s="324" t="s">
        <v>531</v>
      </c>
      <c r="B152" s="312" t="s">
        <v>532</v>
      </c>
      <c r="C152" s="311" t="s">
        <v>491</v>
      </c>
      <c r="D152" s="327">
        <v>0.59899999999999998</v>
      </c>
    </row>
    <row r="153" spans="1:4" x14ac:dyDescent="0.25">
      <c r="A153" s="324" t="s">
        <v>1811</v>
      </c>
      <c r="B153" s="312" t="s">
        <v>1812</v>
      </c>
      <c r="C153" s="311" t="s">
        <v>199</v>
      </c>
      <c r="D153" s="327">
        <v>0.77400000000000002</v>
      </c>
    </row>
    <row r="154" spans="1:4" x14ac:dyDescent="0.25">
      <c r="A154" s="324" t="s">
        <v>533</v>
      </c>
      <c r="B154" s="312" t="s">
        <v>534</v>
      </c>
      <c r="C154" s="311" t="s">
        <v>452</v>
      </c>
      <c r="D154" s="327">
        <v>0.95199999999999996</v>
      </c>
    </row>
    <row r="155" spans="1:4" x14ac:dyDescent="0.25">
      <c r="A155" s="324" t="s">
        <v>535</v>
      </c>
      <c r="B155" s="312" t="s">
        <v>536</v>
      </c>
      <c r="C155" s="311" t="s">
        <v>198</v>
      </c>
      <c r="D155" s="327">
        <v>399.75799999999998</v>
      </c>
    </row>
    <row r="156" spans="1:4" x14ac:dyDescent="0.25">
      <c r="A156" s="324" t="s">
        <v>537</v>
      </c>
      <c r="B156" s="312" t="s">
        <v>538</v>
      </c>
      <c r="C156" s="311" t="s">
        <v>199</v>
      </c>
      <c r="D156" s="327">
        <v>218.38499999999999</v>
      </c>
    </row>
    <row r="157" spans="1:4" x14ac:dyDescent="0.25">
      <c r="A157" s="324" t="s">
        <v>543</v>
      </c>
      <c r="B157" s="312" t="s">
        <v>544</v>
      </c>
      <c r="C157" s="311" t="s">
        <v>396</v>
      </c>
      <c r="D157" s="327">
        <v>15.521000000000001</v>
      </c>
    </row>
    <row r="158" spans="1:4" x14ac:dyDescent="0.25">
      <c r="A158" s="324" t="s">
        <v>545</v>
      </c>
      <c r="B158" s="312" t="s">
        <v>546</v>
      </c>
      <c r="C158" s="311" t="s">
        <v>284</v>
      </c>
      <c r="D158" s="327">
        <v>44.798000000000002</v>
      </c>
    </row>
    <row r="159" spans="1:4" x14ac:dyDescent="0.25">
      <c r="A159" s="324" t="s">
        <v>547</v>
      </c>
      <c r="B159" s="312" t="s">
        <v>2531</v>
      </c>
      <c r="C159" s="311" t="s">
        <v>284</v>
      </c>
      <c r="D159" s="327">
        <v>59.040999999999997</v>
      </c>
    </row>
    <row r="160" spans="1:4" x14ac:dyDescent="0.25">
      <c r="A160" s="324" t="s">
        <v>549</v>
      </c>
      <c r="B160" s="312" t="s">
        <v>2532</v>
      </c>
      <c r="C160" s="311" t="s">
        <v>199</v>
      </c>
      <c r="D160" s="327">
        <v>9.1039999999999992</v>
      </c>
    </row>
    <row r="161" spans="1:4" x14ac:dyDescent="0.25">
      <c r="A161" s="324" t="s">
        <v>551</v>
      </c>
      <c r="B161" s="312" t="s">
        <v>2533</v>
      </c>
      <c r="C161" s="311" t="s">
        <v>553</v>
      </c>
      <c r="D161" s="327">
        <v>248.84899999999999</v>
      </c>
    </row>
    <row r="162" spans="1:4" x14ac:dyDescent="0.25">
      <c r="A162" s="324" t="s">
        <v>554</v>
      </c>
      <c r="B162" s="312" t="s">
        <v>555</v>
      </c>
      <c r="C162" s="311" t="s">
        <v>257</v>
      </c>
      <c r="D162" s="327">
        <v>404.09300000000002</v>
      </c>
    </row>
    <row r="163" spans="1:4" x14ac:dyDescent="0.25">
      <c r="A163" s="324" t="s">
        <v>2534</v>
      </c>
      <c r="B163" s="312" t="s">
        <v>2535</v>
      </c>
      <c r="C163" s="311" t="s">
        <v>553</v>
      </c>
      <c r="D163" s="327">
        <v>411.71300000000002</v>
      </c>
    </row>
    <row r="164" spans="1:4" x14ac:dyDescent="0.25">
      <c r="A164" s="324" t="s">
        <v>556</v>
      </c>
      <c r="B164" s="312" t="s">
        <v>557</v>
      </c>
      <c r="C164" s="311" t="s">
        <v>198</v>
      </c>
      <c r="D164" s="327">
        <v>1.056</v>
      </c>
    </row>
    <row r="165" spans="1:4" x14ac:dyDescent="0.25">
      <c r="A165" s="324" t="s">
        <v>558</v>
      </c>
      <c r="B165" s="312" t="s">
        <v>559</v>
      </c>
      <c r="C165" s="311" t="s">
        <v>452</v>
      </c>
      <c r="D165" s="327">
        <v>1.0029999999999999</v>
      </c>
    </row>
    <row r="166" spans="1:4" x14ac:dyDescent="0.25">
      <c r="A166" s="324" t="s">
        <v>560</v>
      </c>
      <c r="B166" s="312" t="s">
        <v>561</v>
      </c>
      <c r="C166" s="311" t="s">
        <v>452</v>
      </c>
      <c r="D166" s="327">
        <v>0.76700000000000002</v>
      </c>
    </row>
    <row r="167" spans="1:4" x14ac:dyDescent="0.25">
      <c r="A167" s="324" t="s">
        <v>562</v>
      </c>
      <c r="B167" s="312" t="s">
        <v>563</v>
      </c>
      <c r="C167" s="311" t="s">
        <v>442</v>
      </c>
      <c r="D167" s="327">
        <v>4.03</v>
      </c>
    </row>
    <row r="168" spans="1:4" x14ac:dyDescent="0.25">
      <c r="A168" s="324" t="s">
        <v>564</v>
      </c>
      <c r="B168" s="312" t="s">
        <v>565</v>
      </c>
      <c r="C168" s="311" t="s">
        <v>198</v>
      </c>
      <c r="D168" s="327">
        <v>1.802</v>
      </c>
    </row>
    <row r="169" spans="1:4" x14ac:dyDescent="0.25">
      <c r="A169" s="324" t="s">
        <v>568</v>
      </c>
      <c r="B169" s="312" t="s">
        <v>569</v>
      </c>
      <c r="C169" s="311" t="s">
        <v>198</v>
      </c>
      <c r="D169" s="327">
        <v>363.72</v>
      </c>
    </row>
    <row r="170" spans="1:4" x14ac:dyDescent="0.25">
      <c r="A170" s="324" t="s">
        <v>570</v>
      </c>
      <c r="B170" s="312" t="s">
        <v>2536</v>
      </c>
      <c r="C170" s="311" t="s">
        <v>284</v>
      </c>
      <c r="D170" s="327">
        <v>38.232999999999997</v>
      </c>
    </row>
    <row r="171" spans="1:4" x14ac:dyDescent="0.25">
      <c r="A171" s="324" t="s">
        <v>572</v>
      </c>
      <c r="B171" s="312" t="s">
        <v>2537</v>
      </c>
      <c r="C171" s="311" t="s">
        <v>574</v>
      </c>
      <c r="D171" s="327">
        <v>33.835000000000001</v>
      </c>
    </row>
    <row r="172" spans="1:4" x14ac:dyDescent="0.25">
      <c r="A172" s="325" t="s">
        <v>577</v>
      </c>
      <c r="B172" s="312" t="s">
        <v>2538</v>
      </c>
      <c r="C172" s="314" t="s">
        <v>284</v>
      </c>
      <c r="D172" s="327">
        <v>37.405000000000001</v>
      </c>
    </row>
    <row r="173" spans="1:4" x14ac:dyDescent="0.25">
      <c r="A173" s="324" t="s">
        <v>579</v>
      </c>
      <c r="B173" s="312" t="s">
        <v>580</v>
      </c>
      <c r="C173" s="311" t="s">
        <v>284</v>
      </c>
      <c r="D173" s="327">
        <v>36.927999999999997</v>
      </c>
    </row>
    <row r="174" spans="1:4" x14ac:dyDescent="0.25">
      <c r="A174" s="324" t="s">
        <v>581</v>
      </c>
      <c r="B174" s="312" t="s">
        <v>582</v>
      </c>
      <c r="C174" s="311" t="s">
        <v>257</v>
      </c>
      <c r="D174" s="327">
        <v>9.8350000000000009</v>
      </c>
    </row>
    <row r="175" spans="1:4" x14ac:dyDescent="0.25">
      <c r="A175" s="324" t="s">
        <v>583</v>
      </c>
      <c r="B175" s="312" t="s">
        <v>2539</v>
      </c>
      <c r="C175" s="311" t="s">
        <v>585</v>
      </c>
      <c r="D175" s="327">
        <v>338.34500000000003</v>
      </c>
    </row>
    <row r="176" spans="1:4" x14ac:dyDescent="0.25">
      <c r="A176" s="324" t="s">
        <v>586</v>
      </c>
      <c r="B176" s="312" t="s">
        <v>2540</v>
      </c>
      <c r="C176" s="311" t="s">
        <v>284</v>
      </c>
      <c r="D176" s="327">
        <v>39.912999999999997</v>
      </c>
    </row>
    <row r="177" spans="1:4" x14ac:dyDescent="0.25">
      <c r="A177" s="324" t="s">
        <v>588</v>
      </c>
      <c r="B177" s="312" t="s">
        <v>589</v>
      </c>
      <c r="C177" s="311" t="s">
        <v>284</v>
      </c>
      <c r="D177" s="327">
        <v>34.033000000000001</v>
      </c>
    </row>
    <row r="178" spans="1:4" x14ac:dyDescent="0.25">
      <c r="A178" s="324" t="s">
        <v>590</v>
      </c>
      <c r="B178" s="312" t="s">
        <v>591</v>
      </c>
      <c r="C178" s="311" t="s">
        <v>284</v>
      </c>
      <c r="D178" s="327">
        <v>39.776000000000003</v>
      </c>
    </row>
    <row r="179" spans="1:4" x14ac:dyDescent="0.25">
      <c r="A179" s="324" t="s">
        <v>592</v>
      </c>
      <c r="B179" s="312" t="s">
        <v>593</v>
      </c>
      <c r="C179" s="311" t="s">
        <v>284</v>
      </c>
      <c r="D179" s="327">
        <v>40</v>
      </c>
    </row>
    <row r="180" spans="1:4" x14ac:dyDescent="0.25">
      <c r="A180" s="324" t="s">
        <v>594</v>
      </c>
      <c r="B180" s="312" t="s">
        <v>595</v>
      </c>
      <c r="C180" s="311" t="s">
        <v>284</v>
      </c>
      <c r="D180" s="327">
        <v>58.121000000000002</v>
      </c>
    </row>
    <row r="181" spans="1:4" x14ac:dyDescent="0.25">
      <c r="A181" s="324" t="s">
        <v>596</v>
      </c>
      <c r="B181" s="312" t="s">
        <v>597</v>
      </c>
      <c r="C181" s="311" t="s">
        <v>216</v>
      </c>
      <c r="D181" s="327">
        <v>54.750999999999998</v>
      </c>
    </row>
    <row r="182" spans="1:4" x14ac:dyDescent="0.25">
      <c r="A182" s="324" t="s">
        <v>598</v>
      </c>
      <c r="B182" s="312" t="s">
        <v>599</v>
      </c>
      <c r="C182" s="311" t="s">
        <v>284</v>
      </c>
      <c r="D182" s="327">
        <v>36.904000000000003</v>
      </c>
    </row>
    <row r="183" spans="1:4" x14ac:dyDescent="0.25">
      <c r="A183" s="325" t="s">
        <v>600</v>
      </c>
      <c r="B183" s="312" t="s">
        <v>601</v>
      </c>
      <c r="C183" s="314" t="s">
        <v>257</v>
      </c>
      <c r="D183" s="327">
        <v>12.997999999999999</v>
      </c>
    </row>
    <row r="184" spans="1:4" x14ac:dyDescent="0.25">
      <c r="A184" s="324" t="s">
        <v>602</v>
      </c>
      <c r="B184" s="312" t="s">
        <v>603</v>
      </c>
      <c r="C184" s="311" t="s">
        <v>494</v>
      </c>
      <c r="D184" s="327">
        <v>1.3779999999999999</v>
      </c>
    </row>
    <row r="185" spans="1:4" x14ac:dyDescent="0.25">
      <c r="A185" s="324" t="s">
        <v>604</v>
      </c>
      <c r="B185" s="312" t="s">
        <v>605</v>
      </c>
      <c r="C185" s="311" t="s">
        <v>198</v>
      </c>
      <c r="D185" s="327">
        <v>24.733000000000001</v>
      </c>
    </row>
    <row r="186" spans="1:4" x14ac:dyDescent="0.25">
      <c r="A186" s="324" t="s">
        <v>606</v>
      </c>
      <c r="B186" s="312" t="s">
        <v>2541</v>
      </c>
      <c r="C186" s="311" t="s">
        <v>198</v>
      </c>
      <c r="D186" s="327">
        <v>200.333</v>
      </c>
    </row>
    <row r="187" spans="1:4" x14ac:dyDescent="0.25">
      <c r="A187" s="324" t="s">
        <v>608</v>
      </c>
      <c r="B187" s="312" t="s">
        <v>609</v>
      </c>
      <c r="C187" s="311" t="s">
        <v>610</v>
      </c>
      <c r="D187" s="327">
        <v>0.32</v>
      </c>
    </row>
    <row r="188" spans="1:4" x14ac:dyDescent="0.25">
      <c r="A188" s="324" t="s">
        <v>613</v>
      </c>
      <c r="B188" s="312" t="s">
        <v>614</v>
      </c>
      <c r="C188" s="311" t="s">
        <v>200</v>
      </c>
      <c r="D188" s="327">
        <v>1.282</v>
      </c>
    </row>
    <row r="189" spans="1:4" x14ac:dyDescent="0.25">
      <c r="A189" s="324" t="s">
        <v>615</v>
      </c>
      <c r="B189" s="312" t="s">
        <v>616</v>
      </c>
      <c r="C189" s="311" t="s">
        <v>209</v>
      </c>
      <c r="D189" s="327">
        <v>18.841999999999999</v>
      </c>
    </row>
    <row r="190" spans="1:4" x14ac:dyDescent="0.25">
      <c r="A190" s="324" t="s">
        <v>617</v>
      </c>
      <c r="B190" s="312" t="s">
        <v>618</v>
      </c>
      <c r="C190" s="311" t="s">
        <v>198</v>
      </c>
      <c r="D190" s="327">
        <v>22.670999999999999</v>
      </c>
    </row>
    <row r="191" spans="1:4" x14ac:dyDescent="0.25">
      <c r="A191" s="324" t="s">
        <v>619</v>
      </c>
      <c r="B191" s="312" t="s">
        <v>620</v>
      </c>
      <c r="C191" s="311" t="s">
        <v>371</v>
      </c>
      <c r="D191" s="327">
        <v>0.189</v>
      </c>
    </row>
    <row r="192" spans="1:4" x14ac:dyDescent="0.25">
      <c r="A192" s="324" t="s">
        <v>621</v>
      </c>
      <c r="B192" s="312" t="s">
        <v>622</v>
      </c>
      <c r="C192" s="311" t="s">
        <v>432</v>
      </c>
      <c r="D192" s="327">
        <v>0.21299999999999999</v>
      </c>
    </row>
    <row r="193" spans="1:4" x14ac:dyDescent="0.25">
      <c r="A193" s="324" t="s">
        <v>623</v>
      </c>
      <c r="B193" s="312" t="s">
        <v>624</v>
      </c>
      <c r="C193" s="311" t="s">
        <v>625</v>
      </c>
      <c r="D193" s="327">
        <v>15.972</v>
      </c>
    </row>
    <row r="194" spans="1:4" x14ac:dyDescent="0.25">
      <c r="A194" s="324" t="s">
        <v>626</v>
      </c>
      <c r="B194" s="312" t="s">
        <v>627</v>
      </c>
      <c r="C194" s="311" t="s">
        <v>199</v>
      </c>
      <c r="D194" s="327">
        <v>0.88100000000000001</v>
      </c>
    </row>
    <row r="195" spans="1:4" x14ac:dyDescent="0.25">
      <c r="A195" s="324" t="s">
        <v>628</v>
      </c>
      <c r="B195" s="312" t="s">
        <v>629</v>
      </c>
      <c r="C195" s="311" t="s">
        <v>396</v>
      </c>
      <c r="D195" s="327">
        <v>2.4420000000000002</v>
      </c>
    </row>
    <row r="196" spans="1:4" x14ac:dyDescent="0.25">
      <c r="A196" s="324" t="s">
        <v>630</v>
      </c>
      <c r="B196" s="312" t="s">
        <v>631</v>
      </c>
      <c r="C196" s="311" t="s">
        <v>632</v>
      </c>
      <c r="D196" s="327">
        <v>386.10500000000002</v>
      </c>
    </row>
    <row r="197" spans="1:4" x14ac:dyDescent="0.25">
      <c r="A197" s="324" t="s">
        <v>633</v>
      </c>
      <c r="B197" s="312" t="s">
        <v>634</v>
      </c>
      <c r="C197" s="311" t="s">
        <v>257</v>
      </c>
      <c r="D197" s="327">
        <v>8.1630000000000003</v>
      </c>
    </row>
    <row r="198" spans="1:4" x14ac:dyDescent="0.25">
      <c r="A198" s="324" t="s">
        <v>635</v>
      </c>
      <c r="B198" s="312" t="s">
        <v>636</v>
      </c>
      <c r="C198" s="311" t="s">
        <v>198</v>
      </c>
      <c r="D198" s="327">
        <v>113.556</v>
      </c>
    </row>
    <row r="199" spans="1:4" x14ac:dyDescent="0.25">
      <c r="A199" s="324" t="s">
        <v>637</v>
      </c>
      <c r="B199" s="312" t="s">
        <v>638</v>
      </c>
      <c r="C199" s="311" t="s">
        <v>198</v>
      </c>
      <c r="D199" s="327">
        <v>264.44099999999997</v>
      </c>
    </row>
    <row r="200" spans="1:4" x14ac:dyDescent="0.25">
      <c r="A200" s="324" t="s">
        <v>639</v>
      </c>
      <c r="B200" s="312" t="s">
        <v>640</v>
      </c>
      <c r="C200" s="311" t="s">
        <v>198</v>
      </c>
      <c r="D200" s="327">
        <v>522.54499999999996</v>
      </c>
    </row>
    <row r="201" spans="1:4" x14ac:dyDescent="0.25">
      <c r="A201" s="324" t="s">
        <v>641</v>
      </c>
      <c r="B201" s="312" t="s">
        <v>2542</v>
      </c>
      <c r="C201" s="311" t="s">
        <v>199</v>
      </c>
      <c r="D201" s="327">
        <v>82.281000000000006</v>
      </c>
    </row>
    <row r="202" spans="1:4" x14ac:dyDescent="0.25">
      <c r="A202" s="324" t="s">
        <v>643</v>
      </c>
      <c r="B202" s="312" t="s">
        <v>644</v>
      </c>
      <c r="C202" s="311" t="s">
        <v>209</v>
      </c>
      <c r="D202" s="327">
        <v>12.34</v>
      </c>
    </row>
    <row r="203" spans="1:4" x14ac:dyDescent="0.25">
      <c r="A203" s="324" t="s">
        <v>645</v>
      </c>
      <c r="B203" s="312" t="s">
        <v>646</v>
      </c>
      <c r="C203" s="311" t="s">
        <v>198</v>
      </c>
      <c r="D203" s="327">
        <v>0.25600000000000001</v>
      </c>
    </row>
    <row r="204" spans="1:4" x14ac:dyDescent="0.25">
      <c r="A204" s="324" t="s">
        <v>647</v>
      </c>
      <c r="B204" s="312" t="s">
        <v>648</v>
      </c>
      <c r="C204" s="311" t="s">
        <v>371</v>
      </c>
      <c r="D204" s="327">
        <v>41.938000000000002</v>
      </c>
    </row>
    <row r="205" spans="1:4" x14ac:dyDescent="0.25">
      <c r="A205" s="324" t="s">
        <v>649</v>
      </c>
      <c r="B205" s="312" t="s">
        <v>650</v>
      </c>
      <c r="C205" s="311" t="s">
        <v>198</v>
      </c>
      <c r="D205" s="327">
        <v>4.4429999999999996</v>
      </c>
    </row>
    <row r="206" spans="1:4" x14ac:dyDescent="0.25">
      <c r="A206" s="324" t="s">
        <v>651</v>
      </c>
      <c r="B206" s="312" t="s">
        <v>652</v>
      </c>
      <c r="C206" s="311" t="s">
        <v>653</v>
      </c>
      <c r="D206" s="327">
        <v>0.747</v>
      </c>
    </row>
    <row r="207" spans="1:4" x14ac:dyDescent="0.25">
      <c r="A207" s="324" t="s">
        <v>654</v>
      </c>
      <c r="B207" s="312" t="s">
        <v>655</v>
      </c>
      <c r="C207" s="311" t="s">
        <v>656</v>
      </c>
      <c r="D207" s="327">
        <v>8.2409999999999997</v>
      </c>
    </row>
    <row r="208" spans="1:4" x14ac:dyDescent="0.25">
      <c r="A208" s="324" t="s">
        <v>657</v>
      </c>
      <c r="B208" s="312" t="s">
        <v>658</v>
      </c>
      <c r="C208" s="311" t="s">
        <v>659</v>
      </c>
      <c r="D208" s="327">
        <v>0.65900000000000003</v>
      </c>
    </row>
    <row r="209" spans="1:4" x14ac:dyDescent="0.25">
      <c r="A209" s="324" t="s">
        <v>660</v>
      </c>
      <c r="B209" s="312" t="s">
        <v>661</v>
      </c>
      <c r="C209" s="311" t="s">
        <v>198</v>
      </c>
      <c r="D209" s="327">
        <v>49.401000000000003</v>
      </c>
    </row>
    <row r="210" spans="1:4" x14ac:dyDescent="0.25">
      <c r="A210" s="324" t="s">
        <v>662</v>
      </c>
      <c r="B210" s="312" t="s">
        <v>663</v>
      </c>
      <c r="C210" s="311" t="s">
        <v>273</v>
      </c>
      <c r="D210" s="327">
        <v>30.593</v>
      </c>
    </row>
    <row r="211" spans="1:4" x14ac:dyDescent="0.25">
      <c r="A211" s="324" t="s">
        <v>664</v>
      </c>
      <c r="B211" s="312" t="s">
        <v>665</v>
      </c>
      <c r="C211" s="311" t="s">
        <v>311</v>
      </c>
      <c r="D211" s="327">
        <v>2.9529999999999998</v>
      </c>
    </row>
    <row r="212" spans="1:4" x14ac:dyDescent="0.25">
      <c r="A212" s="324" t="s">
        <v>668</v>
      </c>
      <c r="B212" s="312" t="s">
        <v>2543</v>
      </c>
      <c r="C212" s="311" t="s">
        <v>670</v>
      </c>
      <c r="D212" s="327">
        <v>977.88400000000001</v>
      </c>
    </row>
    <row r="213" spans="1:4" x14ac:dyDescent="0.25">
      <c r="A213" s="324" t="s">
        <v>671</v>
      </c>
      <c r="B213" s="312" t="s">
        <v>672</v>
      </c>
      <c r="C213" s="311" t="s">
        <v>199</v>
      </c>
      <c r="D213" s="327">
        <v>0.161</v>
      </c>
    </row>
    <row r="214" spans="1:4" x14ac:dyDescent="0.25">
      <c r="A214" s="324" t="s">
        <v>673</v>
      </c>
      <c r="B214" s="312" t="s">
        <v>674</v>
      </c>
      <c r="C214" s="311" t="s">
        <v>405</v>
      </c>
      <c r="D214" s="327">
        <v>18.963000000000001</v>
      </c>
    </row>
    <row r="215" spans="1:4" x14ac:dyDescent="0.25">
      <c r="A215" s="324" t="s">
        <v>675</v>
      </c>
      <c r="B215" s="312" t="s">
        <v>676</v>
      </c>
      <c r="C215" s="311" t="s">
        <v>295</v>
      </c>
      <c r="D215" s="327">
        <v>1.94</v>
      </c>
    </row>
    <row r="216" spans="1:4" x14ac:dyDescent="0.25">
      <c r="A216" s="324" t="s">
        <v>677</v>
      </c>
      <c r="B216" s="312" t="s">
        <v>678</v>
      </c>
      <c r="C216" s="311" t="s">
        <v>458</v>
      </c>
      <c r="D216" s="327">
        <v>27.093</v>
      </c>
    </row>
    <row r="217" spans="1:4" x14ac:dyDescent="0.25">
      <c r="A217" s="324" t="s">
        <v>679</v>
      </c>
      <c r="B217" s="312" t="s">
        <v>680</v>
      </c>
      <c r="C217" s="311" t="s">
        <v>199</v>
      </c>
      <c r="D217" s="327">
        <v>1.9E-2</v>
      </c>
    </row>
    <row r="218" spans="1:4" x14ac:dyDescent="0.25">
      <c r="A218" s="324" t="s">
        <v>681</v>
      </c>
      <c r="B218" s="312" t="s">
        <v>682</v>
      </c>
      <c r="C218" s="311" t="s">
        <v>683</v>
      </c>
      <c r="D218" s="327">
        <v>11.567</v>
      </c>
    </row>
    <row r="219" spans="1:4" x14ac:dyDescent="0.25">
      <c r="A219" s="324" t="s">
        <v>684</v>
      </c>
      <c r="B219" s="312" t="s">
        <v>685</v>
      </c>
      <c r="C219" s="311" t="s">
        <v>442</v>
      </c>
      <c r="D219" s="327">
        <v>15.949</v>
      </c>
    </row>
    <row r="220" spans="1:4" x14ac:dyDescent="0.25">
      <c r="A220" s="324" t="s">
        <v>686</v>
      </c>
      <c r="B220" s="312" t="s">
        <v>687</v>
      </c>
      <c r="C220" s="311" t="s">
        <v>688</v>
      </c>
      <c r="D220" s="327">
        <v>0.79800000000000004</v>
      </c>
    </row>
    <row r="221" spans="1:4" x14ac:dyDescent="0.25">
      <c r="A221" s="324" t="s">
        <v>689</v>
      </c>
      <c r="B221" s="312" t="s">
        <v>690</v>
      </c>
      <c r="C221" s="311" t="s">
        <v>522</v>
      </c>
      <c r="D221" s="327">
        <v>1.9550000000000001</v>
      </c>
    </row>
    <row r="222" spans="1:4" x14ac:dyDescent="0.25">
      <c r="A222" s="324" t="s">
        <v>691</v>
      </c>
      <c r="B222" s="312" t="s">
        <v>2544</v>
      </c>
      <c r="C222" s="311" t="s">
        <v>257</v>
      </c>
      <c r="D222" s="327">
        <v>5.1150000000000002</v>
      </c>
    </row>
    <row r="223" spans="1:4" x14ac:dyDescent="0.25">
      <c r="A223" s="324" t="s">
        <v>695</v>
      </c>
      <c r="B223" s="312" t="s">
        <v>696</v>
      </c>
      <c r="C223" s="311" t="s">
        <v>257</v>
      </c>
      <c r="D223" s="327">
        <v>1.534</v>
      </c>
    </row>
    <row r="224" spans="1:4" x14ac:dyDescent="0.25">
      <c r="A224" s="324" t="s">
        <v>697</v>
      </c>
      <c r="B224" s="312" t="s">
        <v>698</v>
      </c>
      <c r="C224" s="311" t="s">
        <v>699</v>
      </c>
      <c r="D224" s="327">
        <v>7.351</v>
      </c>
    </row>
    <row r="225" spans="1:4" x14ac:dyDescent="0.25">
      <c r="A225" s="324" t="s">
        <v>700</v>
      </c>
      <c r="B225" s="312" t="s">
        <v>701</v>
      </c>
      <c r="C225" s="311" t="s">
        <v>198</v>
      </c>
      <c r="D225" s="327">
        <v>0.94299999999999995</v>
      </c>
    </row>
    <row r="226" spans="1:4" x14ac:dyDescent="0.25">
      <c r="A226" s="324" t="s">
        <v>702</v>
      </c>
      <c r="B226" s="312" t="s">
        <v>703</v>
      </c>
      <c r="C226" s="311" t="s">
        <v>198</v>
      </c>
      <c r="D226" s="327">
        <v>0.126</v>
      </c>
    </row>
    <row r="227" spans="1:4" x14ac:dyDescent="0.25">
      <c r="A227" s="324" t="s">
        <v>706</v>
      </c>
      <c r="B227" s="312" t="s">
        <v>707</v>
      </c>
      <c r="C227" s="311" t="s">
        <v>199</v>
      </c>
      <c r="D227" s="327">
        <v>1.204</v>
      </c>
    </row>
    <row r="228" spans="1:4" x14ac:dyDescent="0.25">
      <c r="A228" s="325" t="s">
        <v>708</v>
      </c>
      <c r="B228" s="312" t="s">
        <v>2403</v>
      </c>
      <c r="C228" s="314" t="s">
        <v>2545</v>
      </c>
      <c r="D228" s="327">
        <v>8.5410000000000004</v>
      </c>
    </row>
    <row r="229" spans="1:4" x14ac:dyDescent="0.25">
      <c r="A229" s="324" t="s">
        <v>710</v>
      </c>
      <c r="B229" s="312" t="s">
        <v>711</v>
      </c>
      <c r="C229" s="311" t="s">
        <v>452</v>
      </c>
      <c r="D229" s="327">
        <v>7.2889999999999997</v>
      </c>
    </row>
    <row r="230" spans="1:4" x14ac:dyDescent="0.25">
      <c r="A230" s="324" t="s">
        <v>712</v>
      </c>
      <c r="B230" s="312" t="s">
        <v>713</v>
      </c>
      <c r="C230" s="311" t="s">
        <v>257</v>
      </c>
      <c r="D230" s="327">
        <v>9.3979999999999997</v>
      </c>
    </row>
    <row r="231" spans="1:4" x14ac:dyDescent="0.25">
      <c r="A231" s="324" t="s">
        <v>714</v>
      </c>
      <c r="B231" s="312" t="s">
        <v>715</v>
      </c>
      <c r="C231" s="311" t="s">
        <v>199</v>
      </c>
      <c r="D231" s="327">
        <v>2.3610000000000002</v>
      </c>
    </row>
    <row r="232" spans="1:4" x14ac:dyDescent="0.25">
      <c r="A232" s="324" t="s">
        <v>716</v>
      </c>
      <c r="B232" s="312" t="s">
        <v>717</v>
      </c>
      <c r="C232" s="311" t="s">
        <v>198</v>
      </c>
      <c r="D232" s="327">
        <v>33.789000000000001</v>
      </c>
    </row>
    <row r="233" spans="1:4" x14ac:dyDescent="0.25">
      <c r="A233" s="324" t="s">
        <v>718</v>
      </c>
      <c r="B233" s="312" t="s">
        <v>719</v>
      </c>
      <c r="C233" s="311" t="s">
        <v>198</v>
      </c>
      <c r="D233" s="327">
        <v>3.2530000000000001</v>
      </c>
    </row>
    <row r="234" spans="1:4" x14ac:dyDescent="0.25">
      <c r="A234" s="324" t="s">
        <v>720</v>
      </c>
      <c r="B234" s="312" t="s">
        <v>721</v>
      </c>
      <c r="C234" s="311" t="s">
        <v>198</v>
      </c>
      <c r="D234" s="327">
        <v>17.902000000000001</v>
      </c>
    </row>
    <row r="235" spans="1:4" x14ac:dyDescent="0.25">
      <c r="A235" s="324" t="s">
        <v>724</v>
      </c>
      <c r="B235" s="312" t="s">
        <v>725</v>
      </c>
      <c r="C235" s="311" t="s">
        <v>198</v>
      </c>
      <c r="D235" s="327">
        <v>166.816</v>
      </c>
    </row>
    <row r="236" spans="1:4" x14ac:dyDescent="0.25">
      <c r="A236" s="324" t="s">
        <v>726</v>
      </c>
      <c r="B236" s="312" t="s">
        <v>727</v>
      </c>
      <c r="C236" s="311" t="s">
        <v>728</v>
      </c>
      <c r="D236" s="327">
        <v>1.038</v>
      </c>
    </row>
    <row r="237" spans="1:4" x14ac:dyDescent="0.25">
      <c r="A237" s="324" t="s">
        <v>2404</v>
      </c>
      <c r="B237" s="312" t="s">
        <v>2405</v>
      </c>
      <c r="C237" s="311" t="s">
        <v>200</v>
      </c>
      <c r="D237" s="327">
        <v>448.47500000000002</v>
      </c>
    </row>
    <row r="238" spans="1:4" x14ac:dyDescent="0.25">
      <c r="A238" s="324" t="s">
        <v>729</v>
      </c>
      <c r="B238" s="312" t="s">
        <v>730</v>
      </c>
      <c r="C238" s="311" t="s">
        <v>200</v>
      </c>
      <c r="D238" s="327">
        <v>31.138999999999999</v>
      </c>
    </row>
    <row r="239" spans="1:4" x14ac:dyDescent="0.25">
      <c r="A239" s="324" t="s">
        <v>731</v>
      </c>
      <c r="B239" s="312" t="s">
        <v>732</v>
      </c>
      <c r="C239" s="311" t="s">
        <v>198</v>
      </c>
      <c r="D239" s="327">
        <v>2.9169999999999998</v>
      </c>
    </row>
    <row r="240" spans="1:4" x14ac:dyDescent="0.25">
      <c r="A240" s="324" t="s">
        <v>733</v>
      </c>
      <c r="B240" s="312" t="s">
        <v>734</v>
      </c>
      <c r="C240" s="311" t="s">
        <v>735</v>
      </c>
      <c r="D240" s="327">
        <v>4.4829999999999997</v>
      </c>
    </row>
    <row r="241" spans="1:4" x14ac:dyDescent="0.25">
      <c r="A241" s="324" t="s">
        <v>736</v>
      </c>
      <c r="B241" s="312" t="s">
        <v>737</v>
      </c>
      <c r="C241" s="311" t="s">
        <v>738</v>
      </c>
      <c r="D241" s="327">
        <v>23.794</v>
      </c>
    </row>
    <row r="242" spans="1:4" x14ac:dyDescent="0.25">
      <c r="A242" s="324" t="s">
        <v>739</v>
      </c>
      <c r="B242" s="312" t="s">
        <v>740</v>
      </c>
      <c r="C242" s="311" t="s">
        <v>198</v>
      </c>
      <c r="D242" s="327">
        <v>8.5000000000000006E-2</v>
      </c>
    </row>
    <row r="243" spans="1:4" x14ac:dyDescent="0.25">
      <c r="A243" s="325" t="s">
        <v>741</v>
      </c>
      <c r="B243" s="312" t="s">
        <v>742</v>
      </c>
      <c r="C243" s="314" t="s">
        <v>199</v>
      </c>
      <c r="D243" s="327">
        <v>24.699000000000002</v>
      </c>
    </row>
    <row r="244" spans="1:4" x14ac:dyDescent="0.25">
      <c r="A244" s="324" t="s">
        <v>2406</v>
      </c>
      <c r="B244" s="312" t="s">
        <v>2407</v>
      </c>
      <c r="C244" s="311" t="s">
        <v>198</v>
      </c>
      <c r="D244" s="327">
        <v>2.87</v>
      </c>
    </row>
    <row r="245" spans="1:4" x14ac:dyDescent="0.25">
      <c r="A245" s="324" t="s">
        <v>743</v>
      </c>
      <c r="B245" s="312" t="s">
        <v>744</v>
      </c>
      <c r="C245" s="311" t="s">
        <v>325</v>
      </c>
      <c r="D245" s="327">
        <v>17.866</v>
      </c>
    </row>
    <row r="246" spans="1:4" x14ac:dyDescent="0.25">
      <c r="A246" s="324" t="s">
        <v>745</v>
      </c>
      <c r="B246" s="312" t="s">
        <v>746</v>
      </c>
      <c r="C246" s="311" t="s">
        <v>198</v>
      </c>
      <c r="D246" s="327">
        <v>9.0570000000000004</v>
      </c>
    </row>
    <row r="247" spans="1:4" x14ac:dyDescent="0.25">
      <c r="A247" s="324" t="s">
        <v>747</v>
      </c>
      <c r="B247" s="312" t="s">
        <v>2546</v>
      </c>
      <c r="C247" s="311" t="s">
        <v>749</v>
      </c>
      <c r="D247" s="327">
        <v>12.754</v>
      </c>
    </row>
    <row r="248" spans="1:4" x14ac:dyDescent="0.25">
      <c r="A248" s="324" t="s">
        <v>750</v>
      </c>
      <c r="B248" s="312" t="s">
        <v>751</v>
      </c>
      <c r="C248" s="311" t="s">
        <v>728</v>
      </c>
      <c r="D248" s="327">
        <v>22.433</v>
      </c>
    </row>
    <row r="249" spans="1:4" x14ac:dyDescent="0.25">
      <c r="A249" s="324" t="s">
        <v>752</v>
      </c>
      <c r="B249" s="312" t="s">
        <v>753</v>
      </c>
      <c r="C249" s="311" t="s">
        <v>452</v>
      </c>
      <c r="D249" s="327">
        <v>3.101</v>
      </c>
    </row>
    <row r="250" spans="1:4" x14ac:dyDescent="0.25">
      <c r="A250" s="324" t="s">
        <v>754</v>
      </c>
      <c r="B250" s="312" t="s">
        <v>755</v>
      </c>
      <c r="C250" s="311" t="s">
        <v>756</v>
      </c>
      <c r="D250" s="327">
        <v>1054.7</v>
      </c>
    </row>
    <row r="251" spans="1:4" x14ac:dyDescent="0.25">
      <c r="A251" s="324" t="s">
        <v>757</v>
      </c>
      <c r="B251" s="312" t="s">
        <v>758</v>
      </c>
      <c r="C251" s="311" t="s">
        <v>759</v>
      </c>
      <c r="D251" s="327">
        <v>319.66699999999997</v>
      </c>
    </row>
    <row r="252" spans="1:4" x14ac:dyDescent="0.25">
      <c r="A252" s="324" t="s">
        <v>760</v>
      </c>
      <c r="B252" s="312" t="s">
        <v>761</v>
      </c>
      <c r="C252" s="311" t="s">
        <v>762</v>
      </c>
      <c r="D252" s="327">
        <v>3986.8969999999999</v>
      </c>
    </row>
    <row r="253" spans="1:4" x14ac:dyDescent="0.25">
      <c r="A253" s="324" t="s">
        <v>763</v>
      </c>
      <c r="B253" s="312" t="s">
        <v>764</v>
      </c>
      <c r="C253" s="311" t="s">
        <v>198</v>
      </c>
      <c r="D253" s="327">
        <v>1511.0229999999999</v>
      </c>
    </row>
    <row r="254" spans="1:4" x14ac:dyDescent="0.25">
      <c r="A254" s="324" t="s">
        <v>765</v>
      </c>
      <c r="B254" s="312" t="s">
        <v>766</v>
      </c>
      <c r="C254" s="311" t="s">
        <v>767</v>
      </c>
      <c r="D254" s="327">
        <v>25.05</v>
      </c>
    </row>
    <row r="255" spans="1:4" x14ac:dyDescent="0.25">
      <c r="A255" s="324" t="s">
        <v>768</v>
      </c>
      <c r="B255" s="312" t="s">
        <v>769</v>
      </c>
      <c r="C255" s="311" t="s">
        <v>209</v>
      </c>
      <c r="D255" s="327">
        <v>45.304000000000002</v>
      </c>
    </row>
    <row r="256" spans="1:4" x14ac:dyDescent="0.25">
      <c r="A256" s="324" t="s">
        <v>770</v>
      </c>
      <c r="B256" s="312" t="s">
        <v>771</v>
      </c>
      <c r="C256" s="311" t="s">
        <v>767</v>
      </c>
      <c r="D256" s="327">
        <v>0.97299999999999998</v>
      </c>
    </row>
    <row r="257" spans="1:4" x14ac:dyDescent="0.25">
      <c r="A257" s="324" t="s">
        <v>772</v>
      </c>
      <c r="B257" s="312" t="s">
        <v>773</v>
      </c>
      <c r="C257" s="311" t="s">
        <v>774</v>
      </c>
      <c r="D257" s="327">
        <v>2.7029999999999998</v>
      </c>
    </row>
    <row r="258" spans="1:4" x14ac:dyDescent="0.25">
      <c r="A258" s="324" t="s">
        <v>775</v>
      </c>
      <c r="B258" s="312" t="s">
        <v>776</v>
      </c>
      <c r="C258" s="311" t="s">
        <v>683</v>
      </c>
      <c r="D258" s="327">
        <v>105.12</v>
      </c>
    </row>
    <row r="259" spans="1:4" x14ac:dyDescent="0.25">
      <c r="A259" s="324" t="s">
        <v>777</v>
      </c>
      <c r="B259" s="312" t="s">
        <v>778</v>
      </c>
      <c r="C259" s="311" t="s">
        <v>209</v>
      </c>
      <c r="D259" s="327">
        <v>1.631</v>
      </c>
    </row>
    <row r="260" spans="1:4" x14ac:dyDescent="0.25">
      <c r="A260" s="324" t="s">
        <v>779</v>
      </c>
      <c r="B260" s="312" t="s">
        <v>780</v>
      </c>
      <c r="C260" s="311" t="s">
        <v>781</v>
      </c>
      <c r="D260" s="327">
        <v>29.544</v>
      </c>
    </row>
    <row r="261" spans="1:4" x14ac:dyDescent="0.25">
      <c r="A261" s="325" t="s">
        <v>782</v>
      </c>
      <c r="B261" s="312" t="s">
        <v>783</v>
      </c>
      <c r="C261" s="311" t="s">
        <v>198</v>
      </c>
      <c r="D261" s="327">
        <v>310.25400000000002</v>
      </c>
    </row>
    <row r="262" spans="1:4" x14ac:dyDescent="0.25">
      <c r="A262" s="324" t="s">
        <v>784</v>
      </c>
      <c r="B262" s="312" t="s">
        <v>785</v>
      </c>
      <c r="C262" s="311" t="s">
        <v>452</v>
      </c>
      <c r="D262" s="327">
        <v>15.196</v>
      </c>
    </row>
    <row r="263" spans="1:4" x14ac:dyDescent="0.25">
      <c r="A263" s="324" t="s">
        <v>786</v>
      </c>
      <c r="B263" s="312" t="s">
        <v>2547</v>
      </c>
      <c r="C263" s="311" t="s">
        <v>209</v>
      </c>
      <c r="D263" s="327">
        <v>1.0389999999999999</v>
      </c>
    </row>
    <row r="264" spans="1:4" x14ac:dyDescent="0.25">
      <c r="A264" s="324" t="s">
        <v>788</v>
      </c>
      <c r="B264" s="312" t="s">
        <v>2548</v>
      </c>
      <c r="C264" s="311" t="s">
        <v>553</v>
      </c>
      <c r="D264" s="327">
        <v>21.140999999999998</v>
      </c>
    </row>
    <row r="265" spans="1:4" x14ac:dyDescent="0.25">
      <c r="A265" s="324" t="s">
        <v>790</v>
      </c>
      <c r="B265" s="312" t="s">
        <v>791</v>
      </c>
      <c r="C265" s="311" t="s">
        <v>405</v>
      </c>
      <c r="D265" s="327">
        <v>56.377000000000002</v>
      </c>
    </row>
    <row r="266" spans="1:4" x14ac:dyDescent="0.25">
      <c r="A266" s="324" t="s">
        <v>792</v>
      </c>
      <c r="B266" s="312" t="s">
        <v>793</v>
      </c>
      <c r="C266" s="311" t="s">
        <v>295</v>
      </c>
      <c r="D266" s="327">
        <v>1.647</v>
      </c>
    </row>
    <row r="267" spans="1:4" x14ac:dyDescent="0.25">
      <c r="A267" s="324" t="s">
        <v>794</v>
      </c>
      <c r="B267" s="312" t="s">
        <v>795</v>
      </c>
      <c r="C267" s="311" t="s">
        <v>199</v>
      </c>
      <c r="D267" s="327">
        <v>0.122</v>
      </c>
    </row>
    <row r="268" spans="1:4" x14ac:dyDescent="0.25">
      <c r="A268" s="324" t="s">
        <v>796</v>
      </c>
      <c r="B268" s="312" t="s">
        <v>2549</v>
      </c>
      <c r="C268" s="311" t="s">
        <v>199</v>
      </c>
      <c r="D268" s="327">
        <v>1.147</v>
      </c>
    </row>
    <row r="269" spans="1:4" x14ac:dyDescent="0.25">
      <c r="A269" s="324" t="s">
        <v>798</v>
      </c>
      <c r="B269" s="312" t="s">
        <v>799</v>
      </c>
      <c r="C269" s="311" t="s">
        <v>371</v>
      </c>
      <c r="D269" s="327">
        <v>15.247999999999999</v>
      </c>
    </row>
    <row r="270" spans="1:4" x14ac:dyDescent="0.25">
      <c r="A270" s="324" t="s">
        <v>802</v>
      </c>
      <c r="B270" s="312" t="s">
        <v>803</v>
      </c>
      <c r="C270" s="311" t="s">
        <v>199</v>
      </c>
      <c r="D270" s="327">
        <v>0.69299999999999995</v>
      </c>
    </row>
    <row r="271" spans="1:4" x14ac:dyDescent="0.25">
      <c r="A271" s="324" t="s">
        <v>804</v>
      </c>
      <c r="B271" s="312" t="s">
        <v>805</v>
      </c>
      <c r="C271" s="311" t="s">
        <v>284</v>
      </c>
      <c r="D271" s="327">
        <v>379.85700000000003</v>
      </c>
    </row>
    <row r="272" spans="1:4" x14ac:dyDescent="0.25">
      <c r="A272" s="324" t="s">
        <v>806</v>
      </c>
      <c r="B272" s="312" t="s">
        <v>807</v>
      </c>
      <c r="C272" s="311" t="s">
        <v>808</v>
      </c>
      <c r="D272" s="327">
        <v>382.60199999999998</v>
      </c>
    </row>
    <row r="273" spans="1:4" x14ac:dyDescent="0.25">
      <c r="A273" s="324" t="s">
        <v>809</v>
      </c>
      <c r="B273" s="312" t="s">
        <v>810</v>
      </c>
      <c r="C273" s="311" t="s">
        <v>553</v>
      </c>
      <c r="D273" s="327">
        <v>1.0589999999999999</v>
      </c>
    </row>
    <row r="274" spans="1:4" x14ac:dyDescent="0.25">
      <c r="A274" s="324" t="s">
        <v>811</v>
      </c>
      <c r="B274" s="312" t="s">
        <v>812</v>
      </c>
      <c r="C274" s="311" t="s">
        <v>396</v>
      </c>
      <c r="D274" s="327">
        <v>244.501</v>
      </c>
    </row>
    <row r="275" spans="1:4" x14ac:dyDescent="0.25">
      <c r="A275" s="324" t="s">
        <v>813</v>
      </c>
      <c r="B275" s="312" t="s">
        <v>814</v>
      </c>
      <c r="C275" s="311" t="s">
        <v>273</v>
      </c>
      <c r="D275" s="327">
        <v>53.780999999999999</v>
      </c>
    </row>
    <row r="276" spans="1:4" x14ac:dyDescent="0.25">
      <c r="A276" s="324" t="s">
        <v>817</v>
      </c>
      <c r="B276" s="312" t="s">
        <v>818</v>
      </c>
      <c r="C276" s="311" t="s">
        <v>819</v>
      </c>
      <c r="D276" s="327">
        <v>25.788</v>
      </c>
    </row>
    <row r="277" spans="1:4" x14ac:dyDescent="0.25">
      <c r="A277" s="324" t="s">
        <v>820</v>
      </c>
      <c r="B277" s="312" t="s">
        <v>821</v>
      </c>
      <c r="C277" s="311" t="s">
        <v>822</v>
      </c>
      <c r="D277" s="327">
        <v>81.733999999999995</v>
      </c>
    </row>
    <row r="278" spans="1:4" x14ac:dyDescent="0.25">
      <c r="A278" s="324" t="s">
        <v>823</v>
      </c>
      <c r="B278" s="312" t="s">
        <v>824</v>
      </c>
      <c r="C278" s="311" t="s">
        <v>825</v>
      </c>
      <c r="D278" s="327">
        <v>4.8109999999999999</v>
      </c>
    </row>
    <row r="279" spans="1:4" x14ac:dyDescent="0.25">
      <c r="A279" s="324" t="s">
        <v>826</v>
      </c>
      <c r="B279" s="312" t="s">
        <v>2550</v>
      </c>
      <c r="C279" s="311" t="s">
        <v>825</v>
      </c>
      <c r="D279" s="327">
        <v>21.155999999999999</v>
      </c>
    </row>
    <row r="280" spans="1:4" x14ac:dyDescent="0.25">
      <c r="A280" s="324" t="s">
        <v>828</v>
      </c>
      <c r="B280" s="312" t="s">
        <v>829</v>
      </c>
      <c r="C280" s="311" t="s">
        <v>396</v>
      </c>
      <c r="D280" s="327">
        <v>7.7610000000000001</v>
      </c>
    </row>
    <row r="281" spans="1:4" x14ac:dyDescent="0.25">
      <c r="A281" s="324" t="s">
        <v>830</v>
      </c>
      <c r="B281" s="312" t="s">
        <v>2551</v>
      </c>
      <c r="C281" s="311" t="s">
        <v>198</v>
      </c>
      <c r="D281" s="327">
        <v>7.4999999999999997E-2</v>
      </c>
    </row>
    <row r="282" spans="1:4" x14ac:dyDescent="0.25">
      <c r="A282" s="326" t="s">
        <v>832</v>
      </c>
      <c r="B282" s="312" t="s">
        <v>833</v>
      </c>
      <c r="C282" s="311" t="s">
        <v>834</v>
      </c>
      <c r="D282" s="327">
        <v>61.527000000000001</v>
      </c>
    </row>
    <row r="283" spans="1:4" x14ac:dyDescent="0.25">
      <c r="A283" s="324" t="s">
        <v>835</v>
      </c>
      <c r="B283" s="312" t="s">
        <v>836</v>
      </c>
      <c r="C283" s="311" t="s">
        <v>381</v>
      </c>
      <c r="D283" s="327">
        <v>39.502000000000002</v>
      </c>
    </row>
    <row r="284" spans="1:4" x14ac:dyDescent="0.25">
      <c r="A284" s="324" t="s">
        <v>837</v>
      </c>
      <c r="B284" s="312" t="s">
        <v>838</v>
      </c>
      <c r="C284" s="311" t="s">
        <v>839</v>
      </c>
      <c r="D284" s="327">
        <v>95.013999999999996</v>
      </c>
    </row>
    <row r="285" spans="1:4" x14ac:dyDescent="0.25">
      <c r="A285" s="324" t="s">
        <v>840</v>
      </c>
      <c r="B285" s="312" t="s">
        <v>2552</v>
      </c>
      <c r="C285" s="311" t="s">
        <v>491</v>
      </c>
      <c r="D285" s="327">
        <v>0.29899999999999999</v>
      </c>
    </row>
    <row r="286" spans="1:4" x14ac:dyDescent="0.25">
      <c r="A286" s="324" t="s">
        <v>842</v>
      </c>
      <c r="B286" s="312" t="s">
        <v>843</v>
      </c>
      <c r="C286" s="311" t="s">
        <v>325</v>
      </c>
      <c r="D286" s="327">
        <v>35.298999999999999</v>
      </c>
    </row>
    <row r="287" spans="1:4" x14ac:dyDescent="0.25">
      <c r="A287" s="324" t="s">
        <v>2408</v>
      </c>
      <c r="B287" s="312" t="s">
        <v>2409</v>
      </c>
      <c r="C287" s="311" t="s">
        <v>452</v>
      </c>
      <c r="D287" s="327">
        <v>34.78125</v>
      </c>
    </row>
    <row r="288" spans="1:4" x14ac:dyDescent="0.25">
      <c r="A288" s="324" t="s">
        <v>846</v>
      </c>
      <c r="B288" s="312" t="s">
        <v>847</v>
      </c>
      <c r="C288" s="311" t="s">
        <v>848</v>
      </c>
      <c r="D288" s="327">
        <v>2.3250000000000002</v>
      </c>
    </row>
    <row r="289" spans="1:4" x14ac:dyDescent="0.25">
      <c r="A289" s="324" t="s">
        <v>849</v>
      </c>
      <c r="B289" s="312" t="s">
        <v>850</v>
      </c>
      <c r="C289" s="311" t="s">
        <v>491</v>
      </c>
      <c r="D289" s="327">
        <v>3.331</v>
      </c>
    </row>
    <row r="290" spans="1:4" x14ac:dyDescent="0.25">
      <c r="A290" s="324" t="s">
        <v>851</v>
      </c>
      <c r="B290" s="312" t="s">
        <v>850</v>
      </c>
      <c r="C290" s="311" t="s">
        <v>852</v>
      </c>
      <c r="D290" s="327">
        <v>4.9640000000000004</v>
      </c>
    </row>
    <row r="291" spans="1:4" x14ac:dyDescent="0.25">
      <c r="A291" s="324" t="s">
        <v>853</v>
      </c>
      <c r="B291" s="312" t="s">
        <v>854</v>
      </c>
      <c r="C291" s="311" t="s">
        <v>198</v>
      </c>
      <c r="D291" s="327">
        <v>79.891999999999996</v>
      </c>
    </row>
    <row r="292" spans="1:4" x14ac:dyDescent="0.25">
      <c r="A292" s="324" t="s">
        <v>855</v>
      </c>
      <c r="B292" s="312" t="s">
        <v>856</v>
      </c>
      <c r="C292" s="311" t="s">
        <v>405</v>
      </c>
      <c r="D292" s="327">
        <v>13.33</v>
      </c>
    </row>
    <row r="293" spans="1:4" x14ac:dyDescent="0.25">
      <c r="A293" s="324" t="s">
        <v>857</v>
      </c>
      <c r="B293" s="312" t="s">
        <v>2410</v>
      </c>
      <c r="C293" s="311" t="s">
        <v>273</v>
      </c>
      <c r="D293" s="327">
        <v>0.432</v>
      </c>
    </row>
    <row r="294" spans="1:4" x14ac:dyDescent="0.25">
      <c r="A294" s="325" t="s">
        <v>859</v>
      </c>
      <c r="B294" s="312" t="s">
        <v>2553</v>
      </c>
      <c r="C294" s="314" t="s">
        <v>371</v>
      </c>
      <c r="D294" s="327">
        <v>40.484999999999999</v>
      </c>
    </row>
    <row r="295" spans="1:4" x14ac:dyDescent="0.25">
      <c r="A295" s="324" t="s">
        <v>861</v>
      </c>
      <c r="B295" s="312" t="s">
        <v>862</v>
      </c>
      <c r="C295" s="311" t="s">
        <v>749</v>
      </c>
      <c r="D295" s="327">
        <v>144.50980000000001</v>
      </c>
    </row>
    <row r="296" spans="1:4" x14ac:dyDescent="0.25">
      <c r="A296" s="325" t="s">
        <v>863</v>
      </c>
      <c r="B296" s="312" t="s">
        <v>864</v>
      </c>
      <c r="C296" s="314" t="s">
        <v>198</v>
      </c>
      <c r="D296" s="327">
        <v>1.274</v>
      </c>
    </row>
    <row r="297" spans="1:4" x14ac:dyDescent="0.25">
      <c r="A297" s="324" t="s">
        <v>865</v>
      </c>
      <c r="B297" s="312" t="s">
        <v>866</v>
      </c>
      <c r="C297" s="311" t="s">
        <v>199</v>
      </c>
      <c r="D297" s="327">
        <v>4.9889999999999999</v>
      </c>
    </row>
    <row r="298" spans="1:4" x14ac:dyDescent="0.25">
      <c r="A298" s="324" t="s">
        <v>867</v>
      </c>
      <c r="B298" s="312" t="s">
        <v>868</v>
      </c>
      <c r="C298" s="311" t="s">
        <v>198</v>
      </c>
      <c r="D298" s="327">
        <v>101.804</v>
      </c>
    </row>
    <row r="299" spans="1:4" x14ac:dyDescent="0.25">
      <c r="A299" s="324" t="s">
        <v>869</v>
      </c>
      <c r="B299" s="312" t="s">
        <v>870</v>
      </c>
      <c r="C299" s="311" t="s">
        <v>198</v>
      </c>
      <c r="D299" s="327">
        <v>3.1549999999999998</v>
      </c>
    </row>
    <row r="300" spans="1:4" x14ac:dyDescent="0.25">
      <c r="A300" s="324" t="s">
        <v>871</v>
      </c>
      <c r="B300" s="312" t="s">
        <v>872</v>
      </c>
      <c r="C300" s="311" t="s">
        <v>198</v>
      </c>
      <c r="D300" s="327">
        <v>4.4999999999999998E-2</v>
      </c>
    </row>
    <row r="301" spans="1:4" x14ac:dyDescent="0.25">
      <c r="A301" s="324" t="s">
        <v>875</v>
      </c>
      <c r="B301" s="312" t="s">
        <v>876</v>
      </c>
      <c r="C301" s="311" t="s">
        <v>209</v>
      </c>
      <c r="D301" s="327">
        <v>23.145</v>
      </c>
    </row>
    <row r="302" spans="1:4" x14ac:dyDescent="0.25">
      <c r="A302" s="324" t="s">
        <v>877</v>
      </c>
      <c r="B302" s="312" t="s">
        <v>878</v>
      </c>
      <c r="C302" s="311" t="s">
        <v>879</v>
      </c>
      <c r="D302" s="327">
        <v>1569.5429999999999</v>
      </c>
    </row>
    <row r="303" spans="1:4" x14ac:dyDescent="0.25">
      <c r="A303" s="324" t="s">
        <v>880</v>
      </c>
      <c r="B303" s="312" t="s">
        <v>881</v>
      </c>
      <c r="C303" s="311" t="s">
        <v>198</v>
      </c>
      <c r="D303" s="327">
        <v>2.7530000000000001</v>
      </c>
    </row>
    <row r="304" spans="1:4" x14ac:dyDescent="0.25">
      <c r="A304" s="324" t="s">
        <v>884</v>
      </c>
      <c r="B304" s="312" t="s">
        <v>885</v>
      </c>
      <c r="C304" s="311" t="s">
        <v>442</v>
      </c>
      <c r="D304" s="327">
        <v>25.286999999999999</v>
      </c>
    </row>
    <row r="305" spans="1:5" x14ac:dyDescent="0.25">
      <c r="A305" s="324" t="s">
        <v>886</v>
      </c>
      <c r="B305" s="312" t="s">
        <v>887</v>
      </c>
      <c r="C305" s="311" t="s">
        <v>494</v>
      </c>
      <c r="D305" s="327">
        <v>2.0939999999999999</v>
      </c>
    </row>
    <row r="306" spans="1:5" x14ac:dyDescent="0.25">
      <c r="A306" s="324" t="s">
        <v>888</v>
      </c>
      <c r="B306" s="312" t="s">
        <v>889</v>
      </c>
      <c r="C306" s="311" t="s">
        <v>198</v>
      </c>
      <c r="D306" s="327">
        <v>4.1280000000000001</v>
      </c>
    </row>
    <row r="307" spans="1:5" x14ac:dyDescent="0.25">
      <c r="A307" s="324" t="s">
        <v>890</v>
      </c>
      <c r="B307" s="312" t="s">
        <v>891</v>
      </c>
      <c r="C307" s="311" t="s">
        <v>198</v>
      </c>
      <c r="D307" s="327">
        <v>61.237000000000002</v>
      </c>
    </row>
    <row r="308" spans="1:5" x14ac:dyDescent="0.25">
      <c r="A308" s="324" t="s">
        <v>892</v>
      </c>
      <c r="B308" s="312" t="s">
        <v>2554</v>
      </c>
      <c r="C308" s="311" t="s">
        <v>198</v>
      </c>
      <c r="D308" s="327">
        <v>3.6949999999999998</v>
      </c>
    </row>
    <row r="309" spans="1:5" x14ac:dyDescent="0.25">
      <c r="A309" s="324" t="s">
        <v>894</v>
      </c>
      <c r="B309" s="312" t="s">
        <v>2555</v>
      </c>
      <c r="C309" s="311" t="s">
        <v>199</v>
      </c>
      <c r="D309" s="327">
        <v>1.7809999999999999</v>
      </c>
    </row>
    <row r="310" spans="1:5" x14ac:dyDescent="0.25">
      <c r="A310" s="324" t="s">
        <v>2462</v>
      </c>
      <c r="B310" s="312" t="s">
        <v>2463</v>
      </c>
      <c r="C310" s="311" t="s">
        <v>200</v>
      </c>
      <c r="D310" s="327">
        <v>1.81419</v>
      </c>
    </row>
    <row r="311" spans="1:5" x14ac:dyDescent="0.25">
      <c r="A311" s="324" t="s">
        <v>898</v>
      </c>
      <c r="B311" s="312" t="s">
        <v>899</v>
      </c>
      <c r="C311" s="311" t="s">
        <v>670</v>
      </c>
      <c r="D311" s="327">
        <v>392.05900000000003</v>
      </c>
    </row>
    <row r="312" spans="1:5" x14ac:dyDescent="0.25">
      <c r="A312" s="324" t="s">
        <v>900</v>
      </c>
      <c r="B312" s="312" t="s">
        <v>2556</v>
      </c>
      <c r="C312" s="311" t="s">
        <v>198</v>
      </c>
      <c r="D312" s="327">
        <v>167.73099999999999</v>
      </c>
    </row>
    <row r="313" spans="1:5" x14ac:dyDescent="0.25">
      <c r="A313" s="324" t="s">
        <v>904</v>
      </c>
      <c r="B313" s="312" t="s">
        <v>905</v>
      </c>
      <c r="C313" s="311" t="s">
        <v>200</v>
      </c>
      <c r="D313" s="327">
        <v>9.2850000000000001</v>
      </c>
    </row>
    <row r="314" spans="1:5" x14ac:dyDescent="0.25">
      <c r="A314" s="324" t="s">
        <v>906</v>
      </c>
      <c r="B314" s="312" t="s">
        <v>907</v>
      </c>
      <c r="C314" s="311" t="s">
        <v>284</v>
      </c>
      <c r="D314" s="327">
        <v>2.8370000000000002</v>
      </c>
    </row>
    <row r="315" spans="1:5" x14ac:dyDescent="0.25">
      <c r="A315" s="325" t="s">
        <v>908</v>
      </c>
      <c r="B315" s="312" t="s">
        <v>909</v>
      </c>
      <c r="C315" s="314" t="s">
        <v>198</v>
      </c>
      <c r="D315" s="327">
        <v>17.027000000000001</v>
      </c>
    </row>
    <row r="316" spans="1:5" x14ac:dyDescent="0.25">
      <c r="A316" s="324" t="s">
        <v>910</v>
      </c>
      <c r="B316" s="312" t="s">
        <v>911</v>
      </c>
      <c r="C316" s="311" t="s">
        <v>360</v>
      </c>
      <c r="D316" s="327">
        <v>343.11200000000002</v>
      </c>
    </row>
    <row r="317" spans="1:5" x14ac:dyDescent="0.25">
      <c r="A317" s="324" t="s">
        <v>912</v>
      </c>
      <c r="B317" s="312" t="s">
        <v>913</v>
      </c>
      <c r="C317" s="311" t="s">
        <v>273</v>
      </c>
      <c r="D317" s="327">
        <v>10.916</v>
      </c>
    </row>
    <row r="318" spans="1:5" x14ac:dyDescent="0.25">
      <c r="A318" s="324" t="s">
        <v>914</v>
      </c>
      <c r="B318" s="312" t="s">
        <v>915</v>
      </c>
      <c r="C318" s="311" t="s">
        <v>553</v>
      </c>
      <c r="D318" s="327">
        <v>2.0790000000000002</v>
      </c>
    </row>
    <row r="319" spans="1:5" s="317" customFormat="1" x14ac:dyDescent="0.25">
      <c r="A319" s="324" t="s">
        <v>916</v>
      </c>
      <c r="B319" s="312" t="s">
        <v>917</v>
      </c>
      <c r="C319" s="311" t="s">
        <v>257</v>
      </c>
      <c r="D319" s="327">
        <v>3.2869999999999999</v>
      </c>
      <c r="E319" s="310"/>
    </row>
    <row r="320" spans="1:5" x14ac:dyDescent="0.25">
      <c r="A320" s="324" t="s">
        <v>918</v>
      </c>
      <c r="B320" s="312" t="s">
        <v>919</v>
      </c>
      <c r="C320" s="311" t="s">
        <v>257</v>
      </c>
      <c r="D320" s="327">
        <v>9.3089999999999993</v>
      </c>
    </row>
    <row r="321" spans="1:4" x14ac:dyDescent="0.25">
      <c r="A321" s="324" t="s">
        <v>920</v>
      </c>
      <c r="B321" s="312" t="s">
        <v>921</v>
      </c>
      <c r="C321" s="311" t="s">
        <v>922</v>
      </c>
      <c r="D321" s="327">
        <v>4.7919999999999998</v>
      </c>
    </row>
    <row r="322" spans="1:4" x14ac:dyDescent="0.25">
      <c r="A322" s="324" t="s">
        <v>923</v>
      </c>
      <c r="B322" s="312" t="s">
        <v>924</v>
      </c>
      <c r="C322" s="311" t="s">
        <v>198</v>
      </c>
      <c r="D322" s="327">
        <v>3.3759999999999999</v>
      </c>
    </row>
    <row r="323" spans="1:4" x14ac:dyDescent="0.25">
      <c r="A323" s="324" t="s">
        <v>925</v>
      </c>
      <c r="B323" s="312" t="s">
        <v>926</v>
      </c>
      <c r="C323" s="311" t="s">
        <v>199</v>
      </c>
      <c r="D323" s="327">
        <v>4.0890000000000004</v>
      </c>
    </row>
    <row r="324" spans="1:4" x14ac:dyDescent="0.25">
      <c r="A324" s="325" t="s">
        <v>927</v>
      </c>
      <c r="B324" s="312" t="s">
        <v>928</v>
      </c>
      <c r="C324" s="314" t="s">
        <v>354</v>
      </c>
      <c r="D324" s="327">
        <v>0.35399999999999998</v>
      </c>
    </row>
    <row r="325" spans="1:4" x14ac:dyDescent="0.25">
      <c r="A325" s="324" t="s">
        <v>929</v>
      </c>
      <c r="B325" s="312" t="s">
        <v>930</v>
      </c>
      <c r="C325" s="311" t="s">
        <v>931</v>
      </c>
      <c r="D325" s="327">
        <v>0.35699999999999998</v>
      </c>
    </row>
    <row r="326" spans="1:4" x14ac:dyDescent="0.25">
      <c r="A326" s="324" t="s">
        <v>932</v>
      </c>
      <c r="B326" s="312" t="s">
        <v>933</v>
      </c>
      <c r="C326" s="311" t="s">
        <v>284</v>
      </c>
      <c r="D326" s="327">
        <v>0.23</v>
      </c>
    </row>
    <row r="327" spans="1:4" x14ac:dyDescent="0.25">
      <c r="A327" s="324" t="s">
        <v>934</v>
      </c>
      <c r="B327" s="312" t="s">
        <v>935</v>
      </c>
      <c r="C327" s="311" t="s">
        <v>936</v>
      </c>
      <c r="D327" s="327">
        <v>0.13500000000000001</v>
      </c>
    </row>
    <row r="328" spans="1:4" x14ac:dyDescent="0.25">
      <c r="A328" s="324" t="s">
        <v>937</v>
      </c>
      <c r="B328" s="312" t="s">
        <v>938</v>
      </c>
      <c r="C328" s="311" t="s">
        <v>199</v>
      </c>
      <c r="D328" s="327">
        <v>1.5049999999999999</v>
      </c>
    </row>
    <row r="329" spans="1:4" x14ac:dyDescent="0.25">
      <c r="A329" s="324" t="s">
        <v>939</v>
      </c>
      <c r="B329" s="312" t="s">
        <v>940</v>
      </c>
      <c r="C329" s="311" t="s">
        <v>199</v>
      </c>
      <c r="D329" s="327">
        <v>17.733000000000001</v>
      </c>
    </row>
    <row r="330" spans="1:4" x14ac:dyDescent="0.25">
      <c r="A330" s="324" t="s">
        <v>941</v>
      </c>
      <c r="B330" s="312" t="s">
        <v>2557</v>
      </c>
      <c r="C330" s="311" t="s">
        <v>198</v>
      </c>
      <c r="D330" s="327">
        <v>18.446999999999999</v>
      </c>
    </row>
    <row r="331" spans="1:4" x14ac:dyDescent="0.25">
      <c r="A331" s="324" t="s">
        <v>943</v>
      </c>
      <c r="B331" s="312" t="s">
        <v>944</v>
      </c>
      <c r="C331" s="311" t="s">
        <v>945</v>
      </c>
      <c r="D331" s="327">
        <v>2.0209999999999999</v>
      </c>
    </row>
    <row r="332" spans="1:4" x14ac:dyDescent="0.25">
      <c r="A332" s="324" t="s">
        <v>946</v>
      </c>
      <c r="B332" s="312" t="s">
        <v>944</v>
      </c>
      <c r="C332" s="311" t="s">
        <v>947</v>
      </c>
      <c r="D332" s="327">
        <v>1.0109999999999999</v>
      </c>
    </row>
    <row r="333" spans="1:4" x14ac:dyDescent="0.25">
      <c r="A333" s="324" t="s">
        <v>948</v>
      </c>
      <c r="B333" s="312" t="s">
        <v>949</v>
      </c>
      <c r="C333" s="311" t="s">
        <v>947</v>
      </c>
      <c r="D333" s="327">
        <v>0.71299999999999997</v>
      </c>
    </row>
    <row r="334" spans="1:4" x14ac:dyDescent="0.25">
      <c r="A334" s="324" t="s">
        <v>950</v>
      </c>
      <c r="B334" s="312" t="s">
        <v>944</v>
      </c>
      <c r="C334" s="311" t="s">
        <v>951</v>
      </c>
      <c r="D334" s="327">
        <v>0.505</v>
      </c>
    </row>
    <row r="335" spans="1:4" x14ac:dyDescent="0.25">
      <c r="A335" s="324" t="s">
        <v>952</v>
      </c>
      <c r="B335" s="312" t="s">
        <v>953</v>
      </c>
      <c r="C335" s="311" t="s">
        <v>947</v>
      </c>
      <c r="D335" s="327">
        <v>1.792</v>
      </c>
    </row>
    <row r="336" spans="1:4" x14ac:dyDescent="0.25">
      <c r="A336" s="324" t="s">
        <v>954</v>
      </c>
      <c r="B336" s="312" t="s">
        <v>955</v>
      </c>
      <c r="C336" s="311" t="s">
        <v>956</v>
      </c>
      <c r="D336" s="327">
        <v>3.512</v>
      </c>
    </row>
    <row r="337" spans="1:4" x14ac:dyDescent="0.25">
      <c r="A337" s="324" t="s">
        <v>957</v>
      </c>
      <c r="B337" s="312" t="s">
        <v>958</v>
      </c>
      <c r="C337" s="311" t="s">
        <v>956</v>
      </c>
      <c r="D337" s="327">
        <v>1.984</v>
      </c>
    </row>
    <row r="338" spans="1:4" x14ac:dyDescent="0.25">
      <c r="A338" s="324" t="s">
        <v>968</v>
      </c>
      <c r="B338" s="312" t="s">
        <v>969</v>
      </c>
      <c r="C338" s="311" t="s">
        <v>963</v>
      </c>
      <c r="D338" s="327">
        <v>8.19</v>
      </c>
    </row>
    <row r="339" spans="1:4" x14ac:dyDescent="0.25">
      <c r="A339" s="325" t="s">
        <v>972</v>
      </c>
      <c r="B339" s="312" t="s">
        <v>973</v>
      </c>
      <c r="C339" s="311" t="s">
        <v>963</v>
      </c>
      <c r="D339" s="327">
        <v>1.35</v>
      </c>
    </row>
    <row r="340" spans="1:4" x14ac:dyDescent="0.25">
      <c r="A340" s="324" t="s">
        <v>974</v>
      </c>
      <c r="B340" s="312" t="s">
        <v>975</v>
      </c>
      <c r="C340" s="311" t="s">
        <v>976</v>
      </c>
      <c r="D340" s="327">
        <v>0.80200000000000005</v>
      </c>
    </row>
    <row r="341" spans="1:4" x14ac:dyDescent="0.25">
      <c r="A341" s="324" t="s">
        <v>977</v>
      </c>
      <c r="B341" s="312" t="s">
        <v>978</v>
      </c>
      <c r="C341" s="311" t="s">
        <v>963</v>
      </c>
      <c r="D341" s="327">
        <v>1.242</v>
      </c>
    </row>
    <row r="342" spans="1:4" x14ac:dyDescent="0.25">
      <c r="A342" s="324" t="s">
        <v>979</v>
      </c>
      <c r="B342" s="312" t="s">
        <v>980</v>
      </c>
      <c r="C342" s="316" t="s">
        <v>981</v>
      </c>
      <c r="D342" s="327">
        <v>0.96499999999999997</v>
      </c>
    </row>
    <row r="343" spans="1:4" x14ac:dyDescent="0.25">
      <c r="A343" s="324" t="s">
        <v>982</v>
      </c>
      <c r="B343" s="312" t="s">
        <v>2558</v>
      </c>
      <c r="C343" s="311" t="s">
        <v>963</v>
      </c>
      <c r="D343" s="327">
        <v>1.0349999999999999</v>
      </c>
    </row>
    <row r="344" spans="1:4" x14ac:dyDescent="0.25">
      <c r="A344" s="324" t="s">
        <v>986</v>
      </c>
      <c r="B344" s="312" t="s">
        <v>987</v>
      </c>
      <c r="C344" s="316" t="s">
        <v>452</v>
      </c>
      <c r="D344" s="327">
        <v>1.9</v>
      </c>
    </row>
    <row r="345" spans="1:4" x14ac:dyDescent="0.25">
      <c r="A345" s="324" t="s">
        <v>988</v>
      </c>
      <c r="B345" s="312" t="s">
        <v>989</v>
      </c>
      <c r="C345" s="311" t="s">
        <v>963</v>
      </c>
      <c r="D345" s="327">
        <v>0.97799999999999998</v>
      </c>
    </row>
    <row r="346" spans="1:4" x14ac:dyDescent="0.25">
      <c r="A346" s="324" t="s">
        <v>990</v>
      </c>
      <c r="B346" s="312" t="s">
        <v>2559</v>
      </c>
      <c r="C346" s="311" t="s">
        <v>963</v>
      </c>
      <c r="D346" s="327">
        <v>1.196</v>
      </c>
    </row>
    <row r="347" spans="1:4" x14ac:dyDescent="0.25">
      <c r="A347" s="324" t="s">
        <v>992</v>
      </c>
      <c r="B347" s="312" t="s">
        <v>2560</v>
      </c>
      <c r="C347" s="311" t="s">
        <v>963</v>
      </c>
      <c r="D347" s="327">
        <v>1.1120000000000001</v>
      </c>
    </row>
    <row r="348" spans="1:4" x14ac:dyDescent="0.25">
      <c r="A348" s="324" t="s">
        <v>994</v>
      </c>
      <c r="B348" s="312" t="s">
        <v>995</v>
      </c>
      <c r="C348" s="311" t="s">
        <v>963</v>
      </c>
      <c r="D348" s="327">
        <v>1.2789999999999999</v>
      </c>
    </row>
    <row r="349" spans="1:4" x14ac:dyDescent="0.25">
      <c r="A349" s="324" t="s">
        <v>996</v>
      </c>
      <c r="B349" s="312" t="s">
        <v>2561</v>
      </c>
      <c r="C349" s="311" t="s">
        <v>963</v>
      </c>
      <c r="D349" s="327">
        <v>1.5129999999999999</v>
      </c>
    </row>
    <row r="350" spans="1:4" x14ac:dyDescent="0.25">
      <c r="A350" s="324" t="s">
        <v>998</v>
      </c>
      <c r="B350" s="312" t="s">
        <v>999</v>
      </c>
      <c r="C350" s="311" t="s">
        <v>963</v>
      </c>
      <c r="D350" s="327">
        <v>3.6150000000000002</v>
      </c>
    </row>
    <row r="351" spans="1:4" x14ac:dyDescent="0.25">
      <c r="A351" s="324" t="s">
        <v>1000</v>
      </c>
      <c r="B351" s="312" t="s">
        <v>1001</v>
      </c>
      <c r="C351" s="311" t="s">
        <v>963</v>
      </c>
      <c r="D351" s="327">
        <v>1.927</v>
      </c>
    </row>
    <row r="352" spans="1:4" x14ac:dyDescent="0.25">
      <c r="A352" s="324" t="s">
        <v>1002</v>
      </c>
      <c r="B352" s="312" t="s">
        <v>1003</v>
      </c>
      <c r="C352" s="311" t="s">
        <v>963</v>
      </c>
      <c r="D352" s="327">
        <v>1.248</v>
      </c>
    </row>
    <row r="353" spans="1:4" x14ac:dyDescent="0.25">
      <c r="A353" s="324" t="s">
        <v>1004</v>
      </c>
      <c r="B353" s="312" t="s">
        <v>2562</v>
      </c>
      <c r="C353" s="311" t="s">
        <v>963</v>
      </c>
      <c r="D353" s="327">
        <v>2.8170000000000002</v>
      </c>
    </row>
    <row r="354" spans="1:4" x14ac:dyDescent="0.25">
      <c r="A354" s="324" t="s">
        <v>1008</v>
      </c>
      <c r="B354" s="312" t="s">
        <v>1009</v>
      </c>
      <c r="C354" s="311" t="s">
        <v>963</v>
      </c>
      <c r="D354" s="327">
        <v>1.893</v>
      </c>
    </row>
    <row r="355" spans="1:4" x14ac:dyDescent="0.25">
      <c r="A355" s="324" t="s">
        <v>1020</v>
      </c>
      <c r="B355" s="312" t="s">
        <v>1021</v>
      </c>
      <c r="C355" s="311" t="s">
        <v>1022</v>
      </c>
      <c r="D355" s="327">
        <v>327.41300000000001</v>
      </c>
    </row>
    <row r="356" spans="1:4" x14ac:dyDescent="0.25">
      <c r="A356" s="324" t="s">
        <v>1023</v>
      </c>
      <c r="B356" s="312" t="s">
        <v>1024</v>
      </c>
      <c r="C356" s="311" t="s">
        <v>1025</v>
      </c>
      <c r="D356" s="327">
        <v>20138.603999999999</v>
      </c>
    </row>
    <row r="357" spans="1:4" x14ac:dyDescent="0.25">
      <c r="A357" s="324" t="s">
        <v>1026</v>
      </c>
      <c r="B357" s="312" t="s">
        <v>1027</v>
      </c>
      <c r="C357" s="311" t="s">
        <v>273</v>
      </c>
      <c r="D357" s="327">
        <v>197.80500000000001</v>
      </c>
    </row>
    <row r="358" spans="1:4" x14ac:dyDescent="0.25">
      <c r="A358" s="325" t="s">
        <v>1028</v>
      </c>
      <c r="B358" s="312" t="s">
        <v>1029</v>
      </c>
      <c r="C358" s="314" t="s">
        <v>318</v>
      </c>
      <c r="D358" s="327">
        <v>490.947</v>
      </c>
    </row>
    <row r="359" spans="1:4" x14ac:dyDescent="0.25">
      <c r="A359" s="325" t="s">
        <v>1030</v>
      </c>
      <c r="B359" s="312" t="s">
        <v>2563</v>
      </c>
      <c r="C359" s="314" t="s">
        <v>1032</v>
      </c>
      <c r="D359" s="327">
        <v>1046.75</v>
      </c>
    </row>
    <row r="360" spans="1:4" x14ac:dyDescent="0.25">
      <c r="A360" s="324" t="s">
        <v>1033</v>
      </c>
      <c r="B360" s="312" t="s">
        <v>2412</v>
      </c>
      <c r="C360" s="311" t="s">
        <v>1035</v>
      </c>
      <c r="D360" s="327">
        <v>86.591999999999999</v>
      </c>
    </row>
    <row r="361" spans="1:4" x14ac:dyDescent="0.25">
      <c r="A361" s="324" t="s">
        <v>1036</v>
      </c>
      <c r="B361" s="312" t="s">
        <v>1037</v>
      </c>
      <c r="C361" s="311" t="s">
        <v>1035</v>
      </c>
      <c r="D361" s="327">
        <v>157.58099999999999</v>
      </c>
    </row>
    <row r="362" spans="1:4" x14ac:dyDescent="0.25">
      <c r="A362" s="324" t="s">
        <v>1587</v>
      </c>
      <c r="B362" s="312" t="s">
        <v>1588</v>
      </c>
      <c r="C362" s="311" t="s">
        <v>1035</v>
      </c>
      <c r="D362" s="327">
        <v>159.78299999999999</v>
      </c>
    </row>
    <row r="363" spans="1:4" x14ac:dyDescent="0.25">
      <c r="A363" s="324" t="s">
        <v>1038</v>
      </c>
      <c r="B363" s="312" t="s">
        <v>2564</v>
      </c>
      <c r="C363" s="311" t="s">
        <v>198</v>
      </c>
      <c r="D363" s="327">
        <v>12.488</v>
      </c>
    </row>
    <row r="364" spans="1:4" x14ac:dyDescent="0.25">
      <c r="A364" s="324" t="s">
        <v>2116</v>
      </c>
      <c r="B364" s="312" t="s">
        <v>2565</v>
      </c>
      <c r="C364" s="311" t="s">
        <v>1035</v>
      </c>
      <c r="D364" s="327">
        <v>610.10400000000004</v>
      </c>
    </row>
    <row r="365" spans="1:4" x14ac:dyDescent="0.25">
      <c r="A365" s="324" t="s">
        <v>1590</v>
      </c>
      <c r="B365" s="312" t="s">
        <v>1591</v>
      </c>
      <c r="C365" s="311" t="s">
        <v>1813</v>
      </c>
      <c r="D365" s="327">
        <v>910.73500000000001</v>
      </c>
    </row>
    <row r="366" spans="1:4" x14ac:dyDescent="0.25">
      <c r="A366" s="324" t="s">
        <v>1040</v>
      </c>
      <c r="B366" s="312" t="s">
        <v>1041</v>
      </c>
      <c r="C366" s="311" t="s">
        <v>1042</v>
      </c>
      <c r="D366" s="327">
        <v>2.9790000000000001</v>
      </c>
    </row>
    <row r="367" spans="1:4" x14ac:dyDescent="0.25">
      <c r="A367" s="324" t="s">
        <v>1048</v>
      </c>
      <c r="B367" s="312" t="s">
        <v>1049</v>
      </c>
      <c r="C367" s="311" t="s">
        <v>209</v>
      </c>
      <c r="D367" s="327">
        <v>0.31900000000000001</v>
      </c>
    </row>
    <row r="368" spans="1:4" x14ac:dyDescent="0.25">
      <c r="A368" s="324" t="s">
        <v>1050</v>
      </c>
      <c r="B368" s="312" t="s">
        <v>1051</v>
      </c>
      <c r="C368" s="311" t="s">
        <v>257</v>
      </c>
      <c r="D368" s="327">
        <v>3.4350000000000001</v>
      </c>
    </row>
    <row r="369" spans="1:4" x14ac:dyDescent="0.25">
      <c r="A369" s="325" t="s">
        <v>1052</v>
      </c>
      <c r="B369" s="312" t="s">
        <v>1053</v>
      </c>
      <c r="C369" s="314" t="s">
        <v>458</v>
      </c>
      <c r="D369" s="327">
        <v>1.079</v>
      </c>
    </row>
    <row r="370" spans="1:4" x14ac:dyDescent="0.25">
      <c r="A370" s="324" t="s">
        <v>1054</v>
      </c>
      <c r="B370" s="312" t="s">
        <v>1055</v>
      </c>
      <c r="C370" s="311" t="s">
        <v>295</v>
      </c>
      <c r="D370" s="327">
        <v>1289.7629999999999</v>
      </c>
    </row>
    <row r="371" spans="1:4" x14ac:dyDescent="0.25">
      <c r="A371" s="324" t="s">
        <v>1056</v>
      </c>
      <c r="B371" s="312" t="s">
        <v>2566</v>
      </c>
      <c r="C371" s="311" t="s">
        <v>198</v>
      </c>
      <c r="D371" s="327">
        <v>0.81699999999999995</v>
      </c>
    </row>
    <row r="372" spans="1:4" x14ac:dyDescent="0.25">
      <c r="A372" s="325" t="s">
        <v>1058</v>
      </c>
      <c r="B372" s="312" t="s">
        <v>1059</v>
      </c>
      <c r="C372" s="314" t="s">
        <v>273</v>
      </c>
      <c r="D372" s="327">
        <v>0.39200000000000002</v>
      </c>
    </row>
    <row r="373" spans="1:4" x14ac:dyDescent="0.25">
      <c r="A373" s="324" t="s">
        <v>1060</v>
      </c>
      <c r="B373" s="312" t="s">
        <v>1061</v>
      </c>
      <c r="C373" s="311" t="s">
        <v>513</v>
      </c>
      <c r="D373" s="327">
        <v>0.309</v>
      </c>
    </row>
    <row r="374" spans="1:4" x14ac:dyDescent="0.25">
      <c r="A374" s="324" t="s">
        <v>1062</v>
      </c>
      <c r="B374" s="312" t="s">
        <v>1063</v>
      </c>
      <c r="C374" s="311" t="s">
        <v>200</v>
      </c>
      <c r="D374" s="327">
        <v>0.122</v>
      </c>
    </row>
    <row r="375" spans="1:4" x14ac:dyDescent="0.25">
      <c r="A375" s="324" t="s">
        <v>1064</v>
      </c>
      <c r="B375" s="312" t="s">
        <v>1065</v>
      </c>
      <c r="C375" s="311" t="s">
        <v>553</v>
      </c>
      <c r="D375" s="327">
        <v>676.20299999999997</v>
      </c>
    </row>
    <row r="376" spans="1:4" x14ac:dyDescent="0.25">
      <c r="A376" s="324" t="s">
        <v>1066</v>
      </c>
      <c r="B376" s="312" t="s">
        <v>1067</v>
      </c>
      <c r="C376" s="311" t="s">
        <v>198</v>
      </c>
      <c r="D376" s="327">
        <v>0.01</v>
      </c>
    </row>
    <row r="377" spans="1:4" x14ac:dyDescent="0.25">
      <c r="A377" s="324" t="s">
        <v>1068</v>
      </c>
      <c r="B377" s="312" t="s">
        <v>1069</v>
      </c>
      <c r="C377" s="311" t="s">
        <v>553</v>
      </c>
      <c r="D377" s="327">
        <v>0.92600000000000005</v>
      </c>
    </row>
    <row r="378" spans="1:4" x14ac:dyDescent="0.25">
      <c r="A378" s="324" t="s">
        <v>1070</v>
      </c>
      <c r="B378" s="312" t="s">
        <v>1071</v>
      </c>
      <c r="C378" s="311" t="s">
        <v>295</v>
      </c>
      <c r="D378" s="327">
        <v>43.826999999999998</v>
      </c>
    </row>
    <row r="379" spans="1:4" x14ac:dyDescent="0.25">
      <c r="A379" s="324" t="s">
        <v>1072</v>
      </c>
      <c r="B379" s="312" t="s">
        <v>1073</v>
      </c>
      <c r="C379" s="311" t="s">
        <v>295</v>
      </c>
      <c r="D379" s="327">
        <v>1.1240000000000001</v>
      </c>
    </row>
    <row r="380" spans="1:4" x14ac:dyDescent="0.25">
      <c r="A380" s="324" t="s">
        <v>1074</v>
      </c>
      <c r="B380" s="312" t="s">
        <v>1075</v>
      </c>
      <c r="C380" s="311" t="s">
        <v>1076</v>
      </c>
      <c r="D380" s="327">
        <v>3.0529999999999999</v>
      </c>
    </row>
    <row r="381" spans="1:4" x14ac:dyDescent="0.25">
      <c r="A381" s="324" t="s">
        <v>1077</v>
      </c>
      <c r="B381" s="312" t="s">
        <v>1078</v>
      </c>
      <c r="C381" s="311" t="s">
        <v>198</v>
      </c>
      <c r="D381" s="327">
        <v>7.87</v>
      </c>
    </row>
    <row r="382" spans="1:4" x14ac:dyDescent="0.25">
      <c r="A382" s="324" t="s">
        <v>1079</v>
      </c>
      <c r="B382" s="312" t="s">
        <v>1080</v>
      </c>
      <c r="C382" s="311" t="s">
        <v>200</v>
      </c>
      <c r="D382" s="327">
        <v>163.70699999999999</v>
      </c>
    </row>
    <row r="383" spans="1:4" x14ac:dyDescent="0.25">
      <c r="A383" s="324" t="s">
        <v>1081</v>
      </c>
      <c r="B383" s="312" t="s">
        <v>1082</v>
      </c>
      <c r="C383" s="311" t="s">
        <v>458</v>
      </c>
      <c r="D383" s="327">
        <v>7.6950000000000003</v>
      </c>
    </row>
    <row r="384" spans="1:4" x14ac:dyDescent="0.25">
      <c r="A384" s="324" t="s">
        <v>1083</v>
      </c>
      <c r="B384" s="312" t="s">
        <v>1084</v>
      </c>
      <c r="C384" s="311" t="s">
        <v>1085</v>
      </c>
      <c r="D384" s="327">
        <v>8.7650000000000006</v>
      </c>
    </row>
    <row r="385" spans="1:4" x14ac:dyDescent="0.25">
      <c r="A385" s="324" t="s">
        <v>1086</v>
      </c>
      <c r="B385" s="312" t="s">
        <v>1087</v>
      </c>
      <c r="C385" s="311" t="s">
        <v>239</v>
      </c>
      <c r="D385" s="327">
        <v>10.438000000000001</v>
      </c>
    </row>
    <row r="386" spans="1:4" x14ac:dyDescent="0.25">
      <c r="A386" s="324" t="s">
        <v>1088</v>
      </c>
      <c r="B386" s="312" t="s">
        <v>1089</v>
      </c>
      <c r="C386" s="311" t="s">
        <v>405</v>
      </c>
      <c r="D386" s="327">
        <v>4.6890000000000001</v>
      </c>
    </row>
    <row r="387" spans="1:4" x14ac:dyDescent="0.25">
      <c r="A387" s="324" t="s">
        <v>1090</v>
      </c>
      <c r="B387" s="312" t="s">
        <v>1091</v>
      </c>
      <c r="C387" s="311" t="s">
        <v>198</v>
      </c>
      <c r="D387" s="327">
        <v>0.114</v>
      </c>
    </row>
    <row r="388" spans="1:4" x14ac:dyDescent="0.25">
      <c r="A388" s="324" t="s">
        <v>1092</v>
      </c>
      <c r="B388" s="312" t="s">
        <v>1093</v>
      </c>
      <c r="C388" s="311" t="s">
        <v>396</v>
      </c>
      <c r="D388" s="327">
        <v>0.23</v>
      </c>
    </row>
    <row r="389" spans="1:4" x14ac:dyDescent="0.25">
      <c r="A389" s="324" t="s">
        <v>1094</v>
      </c>
      <c r="B389" s="312" t="s">
        <v>1095</v>
      </c>
      <c r="C389" s="311" t="s">
        <v>198</v>
      </c>
      <c r="D389" s="327">
        <v>4.8000000000000001E-2</v>
      </c>
    </row>
    <row r="390" spans="1:4" x14ac:dyDescent="0.25">
      <c r="A390" s="324" t="s">
        <v>1096</v>
      </c>
      <c r="B390" s="312" t="s">
        <v>1097</v>
      </c>
      <c r="C390" s="311" t="s">
        <v>396</v>
      </c>
      <c r="D390" s="327">
        <v>7.3999999999999996E-2</v>
      </c>
    </row>
    <row r="391" spans="1:4" x14ac:dyDescent="0.25">
      <c r="A391" s="324" t="s">
        <v>1098</v>
      </c>
      <c r="B391" s="312" t="s">
        <v>1099</v>
      </c>
      <c r="C391" s="311" t="s">
        <v>1100</v>
      </c>
      <c r="D391" s="327">
        <v>0.16900000000000001</v>
      </c>
    </row>
    <row r="392" spans="1:4" x14ac:dyDescent="0.25">
      <c r="A392" s="324" t="s">
        <v>1101</v>
      </c>
      <c r="B392" s="312" t="s">
        <v>1102</v>
      </c>
      <c r="C392" s="311" t="s">
        <v>396</v>
      </c>
      <c r="D392" s="327">
        <v>4.29</v>
      </c>
    </row>
    <row r="393" spans="1:4" x14ac:dyDescent="0.25">
      <c r="A393" s="324" t="s">
        <v>1103</v>
      </c>
      <c r="B393" s="312" t="s">
        <v>1104</v>
      </c>
      <c r="C393" s="311" t="s">
        <v>199</v>
      </c>
      <c r="D393" s="327">
        <v>0.81399999999999995</v>
      </c>
    </row>
    <row r="394" spans="1:4" x14ac:dyDescent="0.25">
      <c r="A394" s="324" t="s">
        <v>1105</v>
      </c>
      <c r="B394" s="312" t="s">
        <v>1106</v>
      </c>
      <c r="C394" s="311" t="s">
        <v>198</v>
      </c>
      <c r="D394" s="327">
        <v>42.292000000000002</v>
      </c>
    </row>
    <row r="395" spans="1:4" x14ac:dyDescent="0.25">
      <c r="A395" s="324" t="s">
        <v>1107</v>
      </c>
      <c r="B395" s="312" t="s">
        <v>1108</v>
      </c>
      <c r="C395" s="311" t="s">
        <v>198</v>
      </c>
      <c r="D395" s="327">
        <v>0.21</v>
      </c>
    </row>
    <row r="396" spans="1:4" x14ac:dyDescent="0.25">
      <c r="A396" s="324" t="s">
        <v>1109</v>
      </c>
      <c r="B396" s="312" t="s">
        <v>1110</v>
      </c>
      <c r="C396" s="311" t="s">
        <v>198</v>
      </c>
      <c r="D396" s="327">
        <v>0.51900000000000002</v>
      </c>
    </row>
    <row r="397" spans="1:4" x14ac:dyDescent="0.25">
      <c r="A397" s="324" t="s">
        <v>1111</v>
      </c>
      <c r="B397" s="312" t="s">
        <v>1112</v>
      </c>
      <c r="C397" s="311" t="s">
        <v>683</v>
      </c>
      <c r="D397" s="327">
        <v>51.375999999999998</v>
      </c>
    </row>
    <row r="398" spans="1:4" x14ac:dyDescent="0.25">
      <c r="A398" s="324" t="s">
        <v>1113</v>
      </c>
      <c r="B398" s="312" t="s">
        <v>1114</v>
      </c>
      <c r="C398" s="311" t="s">
        <v>1115</v>
      </c>
      <c r="D398" s="327">
        <v>506.43299999999999</v>
      </c>
    </row>
    <row r="399" spans="1:4" x14ac:dyDescent="0.25">
      <c r="A399" s="324" t="s">
        <v>1116</v>
      </c>
      <c r="B399" s="312" t="s">
        <v>1117</v>
      </c>
      <c r="C399" s="311" t="s">
        <v>200</v>
      </c>
      <c r="D399" s="327">
        <v>11.036</v>
      </c>
    </row>
    <row r="400" spans="1:4" x14ac:dyDescent="0.25">
      <c r="A400" s="324" t="s">
        <v>1118</v>
      </c>
      <c r="B400" s="312" t="s">
        <v>1119</v>
      </c>
      <c r="C400" s="311" t="s">
        <v>688</v>
      </c>
      <c r="D400" s="327">
        <v>23.45</v>
      </c>
    </row>
    <row r="401" spans="1:4" x14ac:dyDescent="0.25">
      <c r="A401" s="324" t="s">
        <v>1120</v>
      </c>
      <c r="B401" s="312" t="s">
        <v>1121</v>
      </c>
      <c r="C401" s="311" t="s">
        <v>445</v>
      </c>
      <c r="D401" s="327">
        <v>4.6310000000000002</v>
      </c>
    </row>
    <row r="402" spans="1:4" x14ac:dyDescent="0.25">
      <c r="A402" s="324" t="s">
        <v>1122</v>
      </c>
      <c r="B402" s="312" t="s">
        <v>1123</v>
      </c>
      <c r="C402" s="311" t="s">
        <v>284</v>
      </c>
      <c r="D402" s="327">
        <v>14.757</v>
      </c>
    </row>
    <row r="403" spans="1:4" x14ac:dyDescent="0.25">
      <c r="A403" s="324" t="s">
        <v>1124</v>
      </c>
      <c r="B403" s="312" t="s">
        <v>2567</v>
      </c>
      <c r="C403" s="311" t="s">
        <v>553</v>
      </c>
      <c r="D403" s="327">
        <v>3.2490000000000001</v>
      </c>
    </row>
    <row r="404" spans="1:4" x14ac:dyDescent="0.25">
      <c r="A404" s="324" t="s">
        <v>1126</v>
      </c>
      <c r="B404" s="312" t="s">
        <v>1127</v>
      </c>
      <c r="C404" s="311" t="s">
        <v>458</v>
      </c>
      <c r="D404" s="327">
        <v>1.7000000000000001E-2</v>
      </c>
    </row>
    <row r="405" spans="1:4" x14ac:dyDescent="0.25">
      <c r="A405" s="324" t="s">
        <v>1128</v>
      </c>
      <c r="B405" s="312" t="s">
        <v>2568</v>
      </c>
      <c r="C405" s="311" t="s">
        <v>209</v>
      </c>
      <c r="D405" s="327">
        <v>66.727000000000004</v>
      </c>
    </row>
    <row r="406" spans="1:4" x14ac:dyDescent="0.25">
      <c r="A406" s="324" t="s">
        <v>1130</v>
      </c>
      <c r="B406" s="312" t="s">
        <v>2569</v>
      </c>
      <c r="C406" s="311" t="s">
        <v>688</v>
      </c>
      <c r="D406" s="327">
        <v>11.238</v>
      </c>
    </row>
    <row r="407" spans="1:4" x14ac:dyDescent="0.25">
      <c r="A407" s="324" t="s">
        <v>1132</v>
      </c>
      <c r="B407" s="312" t="s">
        <v>2570</v>
      </c>
      <c r="C407" s="311" t="s">
        <v>1134</v>
      </c>
      <c r="D407" s="327">
        <v>1.0069999999999999</v>
      </c>
    </row>
    <row r="408" spans="1:4" x14ac:dyDescent="0.25">
      <c r="A408" s="325" t="s">
        <v>1135</v>
      </c>
      <c r="B408" s="312" t="s">
        <v>2413</v>
      </c>
      <c r="C408" s="314" t="s">
        <v>396</v>
      </c>
      <c r="D408" s="327">
        <v>464.90800000000002</v>
      </c>
    </row>
    <row r="409" spans="1:4" x14ac:dyDescent="0.25">
      <c r="A409" s="324" t="s">
        <v>1139</v>
      </c>
      <c r="B409" s="312" t="s">
        <v>1140</v>
      </c>
      <c r="C409" s="311" t="s">
        <v>200</v>
      </c>
      <c r="D409" s="327">
        <v>2.8759999999999999</v>
      </c>
    </row>
    <row r="410" spans="1:4" x14ac:dyDescent="0.25">
      <c r="A410" s="324" t="s">
        <v>1141</v>
      </c>
      <c r="B410" s="312" t="s">
        <v>1142</v>
      </c>
      <c r="C410" s="311" t="s">
        <v>1143</v>
      </c>
      <c r="D410" s="327">
        <v>103.816</v>
      </c>
    </row>
    <row r="411" spans="1:4" x14ac:dyDescent="0.25">
      <c r="A411" s="324" t="s">
        <v>1144</v>
      </c>
      <c r="B411" s="312" t="s">
        <v>1145</v>
      </c>
      <c r="C411" s="311" t="s">
        <v>199</v>
      </c>
      <c r="D411" s="327">
        <v>2.64</v>
      </c>
    </row>
    <row r="412" spans="1:4" x14ac:dyDescent="0.25">
      <c r="A412" s="324" t="s">
        <v>1146</v>
      </c>
      <c r="B412" s="312" t="s">
        <v>1147</v>
      </c>
      <c r="C412" s="311" t="s">
        <v>198</v>
      </c>
      <c r="D412" s="327">
        <v>65.117999999999995</v>
      </c>
    </row>
    <row r="413" spans="1:4" x14ac:dyDescent="0.25">
      <c r="A413" s="324" t="s">
        <v>1148</v>
      </c>
      <c r="B413" s="312" t="s">
        <v>1149</v>
      </c>
      <c r="C413" s="311" t="s">
        <v>1150</v>
      </c>
      <c r="D413" s="327">
        <v>398.45800000000003</v>
      </c>
    </row>
    <row r="414" spans="1:4" x14ac:dyDescent="0.25">
      <c r="A414" s="324" t="s">
        <v>1155</v>
      </c>
      <c r="B414" s="312" t="s">
        <v>1156</v>
      </c>
      <c r="C414" s="311" t="s">
        <v>198</v>
      </c>
      <c r="D414" s="327">
        <v>2.8319999999999999</v>
      </c>
    </row>
    <row r="415" spans="1:4" x14ac:dyDescent="0.25">
      <c r="A415" s="324" t="s">
        <v>1157</v>
      </c>
      <c r="B415" s="312" t="s">
        <v>1158</v>
      </c>
      <c r="C415" s="311" t="s">
        <v>198</v>
      </c>
      <c r="D415" s="327">
        <v>150.642</v>
      </c>
    </row>
    <row r="416" spans="1:4" x14ac:dyDescent="0.25">
      <c r="A416" s="324" t="s">
        <v>1814</v>
      </c>
      <c r="B416" s="312" t="s">
        <v>1815</v>
      </c>
      <c r="C416" s="311" t="s">
        <v>1274</v>
      </c>
      <c r="D416" s="327">
        <v>123.39400000000001</v>
      </c>
    </row>
    <row r="417" spans="1:4" x14ac:dyDescent="0.25">
      <c r="A417" s="325" t="s">
        <v>1161</v>
      </c>
      <c r="B417" s="312" t="s">
        <v>1162</v>
      </c>
      <c r="C417" s="314" t="s">
        <v>199</v>
      </c>
      <c r="D417" s="327">
        <v>33.387999999999998</v>
      </c>
    </row>
    <row r="418" spans="1:4" x14ac:dyDescent="0.25">
      <c r="A418" s="324" t="s">
        <v>1163</v>
      </c>
      <c r="B418" s="312" t="s">
        <v>2571</v>
      </c>
      <c r="C418" s="311" t="s">
        <v>198</v>
      </c>
      <c r="D418" s="327">
        <v>24.745000000000001</v>
      </c>
    </row>
    <row r="419" spans="1:4" x14ac:dyDescent="0.25">
      <c r="A419" s="324" t="s">
        <v>1167</v>
      </c>
      <c r="B419" s="312" t="s">
        <v>1168</v>
      </c>
      <c r="C419" s="311" t="s">
        <v>199</v>
      </c>
      <c r="D419" s="327">
        <v>72.203000000000003</v>
      </c>
    </row>
    <row r="420" spans="1:4" x14ac:dyDescent="0.25">
      <c r="A420" s="324" t="s">
        <v>1173</v>
      </c>
      <c r="B420" s="312" t="s">
        <v>1174</v>
      </c>
      <c r="C420" s="311" t="s">
        <v>1175</v>
      </c>
      <c r="D420" s="327">
        <v>21.495999999999999</v>
      </c>
    </row>
    <row r="421" spans="1:4" x14ac:dyDescent="0.25">
      <c r="A421" s="324" t="s">
        <v>1176</v>
      </c>
      <c r="B421" s="312" t="s">
        <v>2414</v>
      </c>
      <c r="C421" s="311" t="s">
        <v>273</v>
      </c>
      <c r="D421" s="327">
        <v>46.563000000000002</v>
      </c>
    </row>
    <row r="422" spans="1:4" x14ac:dyDescent="0.25">
      <c r="A422" s="324" t="s">
        <v>1178</v>
      </c>
      <c r="B422" s="312" t="s">
        <v>1179</v>
      </c>
      <c r="C422" s="311" t="s">
        <v>198</v>
      </c>
      <c r="D422" s="327">
        <v>129.28700000000001</v>
      </c>
    </row>
    <row r="423" spans="1:4" x14ac:dyDescent="0.25">
      <c r="A423" s="324" t="s">
        <v>1180</v>
      </c>
      <c r="B423" s="312" t="s">
        <v>1181</v>
      </c>
      <c r="C423" s="311" t="s">
        <v>198</v>
      </c>
      <c r="D423" s="327">
        <v>150.113</v>
      </c>
    </row>
    <row r="424" spans="1:4" x14ac:dyDescent="0.25">
      <c r="A424" s="324" t="s">
        <v>1184</v>
      </c>
      <c r="B424" s="312" t="s">
        <v>1185</v>
      </c>
      <c r="C424" s="311" t="s">
        <v>209</v>
      </c>
      <c r="D424" s="327">
        <v>3.6230000000000002</v>
      </c>
    </row>
    <row r="425" spans="1:4" x14ac:dyDescent="0.25">
      <c r="A425" s="325" t="s">
        <v>1186</v>
      </c>
      <c r="B425" s="312" t="s">
        <v>2572</v>
      </c>
      <c r="C425" s="314" t="s">
        <v>198</v>
      </c>
      <c r="D425" s="327">
        <v>31.792000000000002</v>
      </c>
    </row>
    <row r="426" spans="1:4" x14ac:dyDescent="0.25">
      <c r="A426" s="324" t="s">
        <v>1188</v>
      </c>
      <c r="B426" s="312" t="s">
        <v>1189</v>
      </c>
      <c r="C426" s="311" t="s">
        <v>257</v>
      </c>
      <c r="D426" s="327">
        <v>3820.7510000000002</v>
      </c>
    </row>
    <row r="427" spans="1:4" x14ac:dyDescent="0.25">
      <c r="A427" s="324" t="s">
        <v>1190</v>
      </c>
      <c r="B427" s="312" t="s">
        <v>1191</v>
      </c>
      <c r="C427" s="311" t="s">
        <v>199</v>
      </c>
      <c r="D427" s="327">
        <v>55.97</v>
      </c>
    </row>
    <row r="428" spans="1:4" x14ac:dyDescent="0.25">
      <c r="A428" s="324" t="s">
        <v>1192</v>
      </c>
      <c r="B428" s="312" t="s">
        <v>2573</v>
      </c>
      <c r="C428" s="311" t="s">
        <v>199</v>
      </c>
      <c r="D428" s="327">
        <v>2.0129999999999999</v>
      </c>
    </row>
    <row r="429" spans="1:4" x14ac:dyDescent="0.25">
      <c r="A429" s="324" t="s">
        <v>1194</v>
      </c>
      <c r="B429" s="312" t="s">
        <v>2574</v>
      </c>
      <c r="C429" s="311" t="s">
        <v>198</v>
      </c>
      <c r="D429" s="327">
        <v>21.937000000000001</v>
      </c>
    </row>
    <row r="430" spans="1:4" x14ac:dyDescent="0.25">
      <c r="A430" s="324" t="s">
        <v>1196</v>
      </c>
      <c r="B430" s="312" t="s">
        <v>2575</v>
      </c>
      <c r="C430" s="311" t="s">
        <v>257</v>
      </c>
      <c r="D430" s="327">
        <v>42.188000000000002</v>
      </c>
    </row>
    <row r="431" spans="1:4" x14ac:dyDescent="0.25">
      <c r="A431" s="324" t="s">
        <v>1816</v>
      </c>
      <c r="B431" s="312" t="s">
        <v>1817</v>
      </c>
      <c r="C431" s="311" t="s">
        <v>199</v>
      </c>
      <c r="D431" s="327">
        <v>591.30999999999995</v>
      </c>
    </row>
    <row r="432" spans="1:4" x14ac:dyDescent="0.25">
      <c r="A432" s="324" t="s">
        <v>1198</v>
      </c>
      <c r="B432" s="312" t="s">
        <v>2576</v>
      </c>
      <c r="C432" s="311" t="s">
        <v>257</v>
      </c>
      <c r="D432" s="327">
        <v>0.88300000000000001</v>
      </c>
    </row>
    <row r="433" spans="1:4" x14ac:dyDescent="0.25">
      <c r="A433" s="324" t="s">
        <v>1200</v>
      </c>
      <c r="B433" s="312" t="s">
        <v>1201</v>
      </c>
      <c r="C433" s="311" t="s">
        <v>396</v>
      </c>
      <c r="D433" s="327">
        <v>1258.029</v>
      </c>
    </row>
    <row r="434" spans="1:4" x14ac:dyDescent="0.25">
      <c r="A434" s="324" t="s">
        <v>1202</v>
      </c>
      <c r="B434" s="312" t="s">
        <v>1203</v>
      </c>
      <c r="C434" s="311" t="s">
        <v>257</v>
      </c>
      <c r="D434" s="327">
        <v>3.96</v>
      </c>
    </row>
    <row r="435" spans="1:4" x14ac:dyDescent="0.25">
      <c r="A435" s="324" t="s">
        <v>1206</v>
      </c>
      <c r="B435" s="312" t="s">
        <v>1207</v>
      </c>
      <c r="C435" s="311" t="s">
        <v>199</v>
      </c>
      <c r="D435" s="327">
        <v>37.688000000000002</v>
      </c>
    </row>
    <row r="436" spans="1:4" x14ac:dyDescent="0.25">
      <c r="A436" s="326" t="s">
        <v>1211</v>
      </c>
      <c r="B436" s="312" t="s">
        <v>1212</v>
      </c>
      <c r="C436" s="311" t="s">
        <v>198</v>
      </c>
      <c r="D436" s="327">
        <v>3.7229999999999999</v>
      </c>
    </row>
    <row r="437" spans="1:4" x14ac:dyDescent="0.25">
      <c r="A437" s="324" t="s">
        <v>192</v>
      </c>
      <c r="B437" s="312" t="s">
        <v>1213</v>
      </c>
      <c r="C437" s="311" t="s">
        <v>198</v>
      </c>
      <c r="D437" s="327">
        <v>2.73</v>
      </c>
    </row>
    <row r="438" spans="1:4" x14ac:dyDescent="0.25">
      <c r="A438" s="324" t="s">
        <v>195</v>
      </c>
      <c r="B438" s="312" t="s">
        <v>1218</v>
      </c>
      <c r="C438" s="311" t="s">
        <v>688</v>
      </c>
      <c r="D438" s="327">
        <v>1.2869999999999999</v>
      </c>
    </row>
    <row r="439" spans="1:4" x14ac:dyDescent="0.25">
      <c r="A439" s="324" t="s">
        <v>1219</v>
      </c>
      <c r="B439" s="312" t="s">
        <v>1220</v>
      </c>
      <c r="C439" s="311" t="s">
        <v>273</v>
      </c>
      <c r="D439" s="327">
        <v>106.377</v>
      </c>
    </row>
    <row r="440" spans="1:4" x14ac:dyDescent="0.25">
      <c r="A440" s="324" t="s">
        <v>1221</v>
      </c>
      <c r="B440" s="312" t="s">
        <v>1222</v>
      </c>
      <c r="C440" s="311" t="s">
        <v>199</v>
      </c>
      <c r="D440" s="327">
        <v>0.71599999999999997</v>
      </c>
    </row>
    <row r="441" spans="1:4" x14ac:dyDescent="0.25">
      <c r="A441" s="324" t="s">
        <v>1223</v>
      </c>
      <c r="B441" s="312" t="s">
        <v>1224</v>
      </c>
      <c r="C441" s="311" t="s">
        <v>209</v>
      </c>
      <c r="D441" s="327">
        <v>64.44</v>
      </c>
    </row>
    <row r="442" spans="1:4" x14ac:dyDescent="0.25">
      <c r="A442" s="324" t="s">
        <v>1225</v>
      </c>
      <c r="B442" s="312" t="s">
        <v>1226</v>
      </c>
      <c r="C442" s="311" t="s">
        <v>284</v>
      </c>
      <c r="D442" s="327">
        <v>1.871</v>
      </c>
    </row>
    <row r="443" spans="1:4" x14ac:dyDescent="0.25">
      <c r="A443" s="324" t="s">
        <v>1227</v>
      </c>
      <c r="B443" s="312" t="s">
        <v>1228</v>
      </c>
      <c r="C443" s="311" t="s">
        <v>284</v>
      </c>
      <c r="D443" s="327">
        <v>16.276</v>
      </c>
    </row>
    <row r="444" spans="1:4" x14ac:dyDescent="0.25">
      <c r="A444" s="324" t="s">
        <v>1229</v>
      </c>
      <c r="B444" s="312" t="s">
        <v>1230</v>
      </c>
      <c r="C444" s="311" t="s">
        <v>442</v>
      </c>
      <c r="D444" s="327">
        <v>7.0469999999999997</v>
      </c>
    </row>
    <row r="445" spans="1:4" x14ac:dyDescent="0.25">
      <c r="A445" s="324" t="s">
        <v>1231</v>
      </c>
      <c r="B445" s="312" t="s">
        <v>1232</v>
      </c>
      <c r="C445" s="311" t="s">
        <v>1233</v>
      </c>
      <c r="D445" s="327">
        <v>304.267</v>
      </c>
    </row>
    <row r="446" spans="1:4" x14ac:dyDescent="0.25">
      <c r="A446" s="324" t="s">
        <v>1236</v>
      </c>
      <c r="B446" s="312" t="s">
        <v>1237</v>
      </c>
      <c r="C446" s="311" t="s">
        <v>311</v>
      </c>
      <c r="D446" s="327">
        <v>4.2119999999999997</v>
      </c>
    </row>
    <row r="447" spans="1:4" x14ac:dyDescent="0.25">
      <c r="A447" s="324" t="s">
        <v>1238</v>
      </c>
      <c r="B447" s="312" t="s">
        <v>1239</v>
      </c>
      <c r="C447" s="311" t="s">
        <v>198</v>
      </c>
      <c r="D447" s="327">
        <v>75.149000000000001</v>
      </c>
    </row>
    <row r="448" spans="1:4" x14ac:dyDescent="0.25">
      <c r="A448" s="324" t="s">
        <v>1240</v>
      </c>
      <c r="B448" s="312" t="s">
        <v>1241</v>
      </c>
      <c r="C448" s="311" t="s">
        <v>405</v>
      </c>
      <c r="D448" s="327">
        <v>29.186</v>
      </c>
    </row>
    <row r="449" spans="1:4" x14ac:dyDescent="0.25">
      <c r="A449" s="324" t="s">
        <v>1242</v>
      </c>
      <c r="B449" s="312" t="s">
        <v>1243</v>
      </c>
      <c r="C449" s="311" t="s">
        <v>442</v>
      </c>
      <c r="D449" s="327">
        <v>3.2370000000000001</v>
      </c>
    </row>
    <row r="450" spans="1:4" x14ac:dyDescent="0.25">
      <c r="A450" s="324" t="s">
        <v>1244</v>
      </c>
      <c r="B450" s="312" t="s">
        <v>1245</v>
      </c>
      <c r="C450" s="311" t="s">
        <v>200</v>
      </c>
      <c r="D450" s="327">
        <v>25.966999999999999</v>
      </c>
    </row>
    <row r="451" spans="1:4" x14ac:dyDescent="0.25">
      <c r="A451" s="324" t="s">
        <v>1246</v>
      </c>
      <c r="B451" s="312" t="s">
        <v>1247</v>
      </c>
      <c r="C451" s="311" t="s">
        <v>1248</v>
      </c>
      <c r="D451" s="327">
        <v>25.265999999999998</v>
      </c>
    </row>
    <row r="452" spans="1:4" x14ac:dyDescent="0.25">
      <c r="A452" s="324" t="s">
        <v>1249</v>
      </c>
      <c r="B452" s="312" t="s">
        <v>1250</v>
      </c>
      <c r="C452" s="311" t="s">
        <v>1251</v>
      </c>
      <c r="D452" s="327">
        <v>219.876</v>
      </c>
    </row>
    <row r="453" spans="1:4" x14ac:dyDescent="0.25">
      <c r="A453" s="324" t="s">
        <v>1252</v>
      </c>
      <c r="B453" s="312" t="s">
        <v>1253</v>
      </c>
      <c r="C453" s="311" t="s">
        <v>198</v>
      </c>
      <c r="D453" s="327">
        <v>16.75</v>
      </c>
    </row>
    <row r="454" spans="1:4" x14ac:dyDescent="0.25">
      <c r="A454" s="324" t="s">
        <v>1254</v>
      </c>
      <c r="B454" s="312" t="s">
        <v>1255</v>
      </c>
      <c r="C454" s="311" t="s">
        <v>209</v>
      </c>
      <c r="D454" s="327">
        <v>3088.0720000000001</v>
      </c>
    </row>
    <row r="455" spans="1:4" x14ac:dyDescent="0.25">
      <c r="A455" s="324" t="s">
        <v>1256</v>
      </c>
      <c r="B455" s="312" t="s">
        <v>2577</v>
      </c>
      <c r="C455" s="311" t="s">
        <v>209</v>
      </c>
      <c r="D455" s="327">
        <v>26164.111000000001</v>
      </c>
    </row>
    <row r="456" spans="1:4" x14ac:dyDescent="0.25">
      <c r="A456" s="324" t="s">
        <v>1258</v>
      </c>
      <c r="B456" s="312" t="s">
        <v>1259</v>
      </c>
      <c r="C456" s="311" t="s">
        <v>198</v>
      </c>
      <c r="D456" s="327">
        <v>140.63</v>
      </c>
    </row>
    <row r="457" spans="1:4" x14ac:dyDescent="0.25">
      <c r="A457" s="324" t="s">
        <v>1545</v>
      </c>
      <c r="B457" s="312" t="s">
        <v>1818</v>
      </c>
      <c r="C457" s="311" t="s">
        <v>199</v>
      </c>
      <c r="D457" s="327">
        <v>266.34100000000001</v>
      </c>
    </row>
    <row r="458" spans="1:4" x14ac:dyDescent="0.25">
      <c r="A458" s="324" t="s">
        <v>1260</v>
      </c>
      <c r="B458" s="312" t="s">
        <v>2578</v>
      </c>
      <c r="C458" s="311" t="s">
        <v>209</v>
      </c>
      <c r="D458" s="327">
        <v>1765.9659999999999</v>
      </c>
    </row>
    <row r="459" spans="1:4" x14ac:dyDescent="0.25">
      <c r="A459" s="324" t="s">
        <v>193</v>
      </c>
      <c r="B459" s="312" t="s">
        <v>1262</v>
      </c>
      <c r="C459" s="311" t="s">
        <v>200</v>
      </c>
      <c r="D459" s="327">
        <v>0.23</v>
      </c>
    </row>
    <row r="460" spans="1:4" x14ac:dyDescent="0.25">
      <c r="A460" s="324" t="s">
        <v>1263</v>
      </c>
      <c r="B460" s="312" t="s">
        <v>1262</v>
      </c>
      <c r="C460" s="311" t="s">
        <v>209</v>
      </c>
      <c r="D460" s="327">
        <v>2.3029999999999999</v>
      </c>
    </row>
    <row r="461" spans="1:4" x14ac:dyDescent="0.25">
      <c r="A461" s="324" t="s">
        <v>1264</v>
      </c>
      <c r="B461" s="312" t="s">
        <v>1265</v>
      </c>
      <c r="C461" s="311" t="s">
        <v>209</v>
      </c>
      <c r="D461" s="327">
        <v>152.08000000000001</v>
      </c>
    </row>
    <row r="462" spans="1:4" x14ac:dyDescent="0.25">
      <c r="A462" s="324" t="s">
        <v>1268</v>
      </c>
      <c r="B462" s="312" t="s">
        <v>1269</v>
      </c>
      <c r="C462" s="311" t="s">
        <v>396</v>
      </c>
      <c r="D462" s="327">
        <v>0.3</v>
      </c>
    </row>
    <row r="463" spans="1:4" x14ac:dyDescent="0.25">
      <c r="A463" s="324" t="s">
        <v>1270</v>
      </c>
      <c r="B463" s="312" t="s">
        <v>1271</v>
      </c>
      <c r="C463" s="311" t="s">
        <v>198</v>
      </c>
      <c r="D463" s="327">
        <v>10.052</v>
      </c>
    </row>
    <row r="464" spans="1:4" x14ac:dyDescent="0.25">
      <c r="A464" s="324" t="s">
        <v>1272</v>
      </c>
      <c r="B464" s="312" t="s">
        <v>1273</v>
      </c>
      <c r="C464" s="311" t="s">
        <v>1274</v>
      </c>
      <c r="D464" s="327">
        <v>14275.2</v>
      </c>
    </row>
    <row r="465" spans="1:4" x14ac:dyDescent="0.25">
      <c r="A465" s="324" t="s">
        <v>1275</v>
      </c>
      <c r="B465" s="312" t="s">
        <v>1276</v>
      </c>
      <c r="C465" s="311" t="s">
        <v>198</v>
      </c>
      <c r="D465" s="327">
        <v>0.14399999999999999</v>
      </c>
    </row>
    <row r="466" spans="1:4" x14ac:dyDescent="0.25">
      <c r="A466" s="324" t="s">
        <v>1277</v>
      </c>
      <c r="B466" s="312" t="s">
        <v>1278</v>
      </c>
      <c r="C466" s="311" t="s">
        <v>199</v>
      </c>
      <c r="D466" s="327">
        <v>1840.3209999999999</v>
      </c>
    </row>
    <row r="467" spans="1:4" x14ac:dyDescent="0.25">
      <c r="A467" s="325" t="s">
        <v>1279</v>
      </c>
      <c r="B467" s="312" t="s">
        <v>1280</v>
      </c>
      <c r="C467" s="314" t="s">
        <v>198</v>
      </c>
      <c r="D467" s="327">
        <v>45.765000000000001</v>
      </c>
    </row>
    <row r="468" spans="1:4" x14ac:dyDescent="0.25">
      <c r="A468" s="324" t="s">
        <v>1281</v>
      </c>
      <c r="B468" s="312" t="s">
        <v>1282</v>
      </c>
      <c r="C468" s="311" t="s">
        <v>200</v>
      </c>
      <c r="D468" s="327">
        <v>98.207999999999998</v>
      </c>
    </row>
    <row r="469" spans="1:4" x14ac:dyDescent="0.25">
      <c r="A469" s="324" t="s">
        <v>1285</v>
      </c>
      <c r="B469" s="312" t="s">
        <v>2579</v>
      </c>
      <c r="C469" s="311" t="s">
        <v>200</v>
      </c>
      <c r="D469" s="327">
        <v>36.31</v>
      </c>
    </row>
    <row r="470" spans="1:4" x14ac:dyDescent="0.25">
      <c r="A470" s="325" t="s">
        <v>1289</v>
      </c>
      <c r="B470" s="312" t="s">
        <v>1290</v>
      </c>
      <c r="C470" s="314" t="s">
        <v>198</v>
      </c>
      <c r="D470" s="327">
        <v>25.693999999999999</v>
      </c>
    </row>
    <row r="471" spans="1:4" x14ac:dyDescent="0.25">
      <c r="A471" s="324" t="s">
        <v>1291</v>
      </c>
      <c r="B471" s="312" t="s">
        <v>1292</v>
      </c>
      <c r="C471" s="311" t="s">
        <v>199</v>
      </c>
      <c r="D471" s="327">
        <v>56.292999999999999</v>
      </c>
    </row>
    <row r="472" spans="1:4" x14ac:dyDescent="0.25">
      <c r="A472" s="324" t="s">
        <v>1293</v>
      </c>
      <c r="B472" s="312" t="s">
        <v>1294</v>
      </c>
      <c r="C472" s="311" t="s">
        <v>199</v>
      </c>
      <c r="D472" s="327">
        <v>51.963999999999999</v>
      </c>
    </row>
    <row r="473" spans="1:4" x14ac:dyDescent="0.25">
      <c r="A473" s="324" t="s">
        <v>1295</v>
      </c>
      <c r="B473" s="312" t="s">
        <v>1296</v>
      </c>
      <c r="C473" s="311" t="s">
        <v>199</v>
      </c>
      <c r="D473" s="327">
        <v>105.524</v>
      </c>
    </row>
    <row r="474" spans="1:4" x14ac:dyDescent="0.25">
      <c r="A474" s="324" t="s">
        <v>1297</v>
      </c>
      <c r="B474" s="312" t="s">
        <v>1298</v>
      </c>
      <c r="C474" s="311" t="s">
        <v>199</v>
      </c>
      <c r="D474" s="327">
        <v>62.945999999999998</v>
      </c>
    </row>
    <row r="475" spans="1:4" x14ac:dyDescent="0.25">
      <c r="A475" s="325" t="s">
        <v>1299</v>
      </c>
      <c r="B475" s="312" t="s">
        <v>2580</v>
      </c>
      <c r="C475" s="314" t="s">
        <v>198</v>
      </c>
      <c r="D475" s="327">
        <v>10.657</v>
      </c>
    </row>
    <row r="476" spans="1:4" x14ac:dyDescent="0.25">
      <c r="A476" s="324" t="s">
        <v>1301</v>
      </c>
      <c r="B476" s="312" t="s">
        <v>1302</v>
      </c>
      <c r="C476" s="311" t="s">
        <v>198</v>
      </c>
      <c r="D476" s="327">
        <v>229.93600000000001</v>
      </c>
    </row>
    <row r="477" spans="1:4" x14ac:dyDescent="0.25">
      <c r="A477" s="325" t="s">
        <v>1303</v>
      </c>
      <c r="B477" s="312" t="s">
        <v>1304</v>
      </c>
      <c r="C477" s="314" t="s">
        <v>200</v>
      </c>
      <c r="D477" s="327">
        <v>56.154000000000003</v>
      </c>
    </row>
    <row r="478" spans="1:4" x14ac:dyDescent="0.25">
      <c r="A478" s="324" t="s">
        <v>2415</v>
      </c>
      <c r="B478" s="312" t="s">
        <v>2416</v>
      </c>
      <c r="C478" s="311" t="s">
        <v>257</v>
      </c>
      <c r="D478" s="327">
        <v>791.40099999999995</v>
      </c>
    </row>
    <row r="479" spans="1:4" x14ac:dyDescent="0.25">
      <c r="A479" s="324" t="s">
        <v>1310</v>
      </c>
      <c r="B479" s="312" t="s">
        <v>1311</v>
      </c>
      <c r="C479" s="311" t="s">
        <v>198</v>
      </c>
      <c r="D479" s="327">
        <v>300.399</v>
      </c>
    </row>
    <row r="480" spans="1:4" x14ac:dyDescent="0.25">
      <c r="A480" s="324" t="s">
        <v>1312</v>
      </c>
      <c r="B480" s="312" t="s">
        <v>1313</v>
      </c>
      <c r="C480" s="311" t="s">
        <v>405</v>
      </c>
      <c r="D480" s="327">
        <v>322.80599999999998</v>
      </c>
    </row>
    <row r="481" spans="1:4" x14ac:dyDescent="0.25">
      <c r="A481" s="324" t="s">
        <v>1317</v>
      </c>
      <c r="B481" s="312" t="s">
        <v>1318</v>
      </c>
      <c r="C481" s="311" t="s">
        <v>198</v>
      </c>
      <c r="D481" s="327">
        <v>7.4530000000000003</v>
      </c>
    </row>
    <row r="482" spans="1:4" x14ac:dyDescent="0.25">
      <c r="A482" s="324" t="s">
        <v>1319</v>
      </c>
      <c r="B482" s="312" t="s">
        <v>1320</v>
      </c>
      <c r="C482" s="311" t="s">
        <v>198</v>
      </c>
      <c r="D482" s="327">
        <v>65.582999999999998</v>
      </c>
    </row>
    <row r="483" spans="1:4" x14ac:dyDescent="0.25">
      <c r="A483" s="324" t="s">
        <v>1323</v>
      </c>
      <c r="B483" s="312" t="s">
        <v>1324</v>
      </c>
      <c r="C483" s="311" t="s">
        <v>273</v>
      </c>
      <c r="D483" s="327">
        <v>1.825</v>
      </c>
    </row>
    <row r="484" spans="1:4" x14ac:dyDescent="0.25">
      <c r="A484" s="325" t="s">
        <v>1327</v>
      </c>
      <c r="B484" s="312" t="s">
        <v>2581</v>
      </c>
      <c r="C484" s="314" t="s">
        <v>198</v>
      </c>
      <c r="D484" s="327">
        <v>29.215</v>
      </c>
    </row>
    <row r="485" spans="1:4" x14ac:dyDescent="0.25">
      <c r="A485" s="324" t="s">
        <v>1329</v>
      </c>
      <c r="B485" s="312" t="s">
        <v>1819</v>
      </c>
      <c r="C485" s="311" t="s">
        <v>199</v>
      </c>
      <c r="D485" s="327">
        <v>91.730999999999995</v>
      </c>
    </row>
    <row r="486" spans="1:4" x14ac:dyDescent="0.25">
      <c r="A486" s="324" t="s">
        <v>1333</v>
      </c>
      <c r="B486" s="312" t="s">
        <v>1334</v>
      </c>
      <c r="C486" s="311" t="s">
        <v>442</v>
      </c>
      <c r="D486" s="327">
        <v>1132.7829999999999</v>
      </c>
    </row>
    <row r="487" spans="1:4" x14ac:dyDescent="0.25">
      <c r="A487" s="324" t="s">
        <v>1335</v>
      </c>
      <c r="B487" s="312" t="s">
        <v>1336</v>
      </c>
      <c r="C487" s="311" t="s">
        <v>198</v>
      </c>
      <c r="D487" s="327">
        <v>3.1070000000000002</v>
      </c>
    </row>
    <row r="488" spans="1:4" x14ac:dyDescent="0.25">
      <c r="A488" s="324" t="s">
        <v>1337</v>
      </c>
      <c r="B488" s="312" t="s">
        <v>2582</v>
      </c>
      <c r="C488" s="311" t="s">
        <v>198</v>
      </c>
      <c r="D488" s="327">
        <v>4.2619999999999996</v>
      </c>
    </row>
    <row r="489" spans="1:4" x14ac:dyDescent="0.25">
      <c r="A489" s="324" t="s">
        <v>1339</v>
      </c>
      <c r="B489" s="312" t="s">
        <v>2583</v>
      </c>
      <c r="C489" s="311" t="s">
        <v>198</v>
      </c>
      <c r="D489" s="327">
        <v>2493.0100000000002</v>
      </c>
    </row>
    <row r="490" spans="1:4" x14ac:dyDescent="0.25">
      <c r="A490" s="324" t="s">
        <v>1341</v>
      </c>
      <c r="B490" s="312" t="s">
        <v>1342</v>
      </c>
      <c r="C490" s="311" t="s">
        <v>199</v>
      </c>
      <c r="D490" s="327">
        <v>10.452</v>
      </c>
    </row>
    <row r="491" spans="1:4" x14ac:dyDescent="0.25">
      <c r="A491" s="324" t="s">
        <v>1343</v>
      </c>
      <c r="B491" s="312" t="s">
        <v>2584</v>
      </c>
      <c r="C491" s="311" t="s">
        <v>553</v>
      </c>
      <c r="D491" s="327">
        <v>94.081999999999994</v>
      </c>
    </row>
    <row r="492" spans="1:4" x14ac:dyDescent="0.25">
      <c r="A492" s="325" t="s">
        <v>1345</v>
      </c>
      <c r="B492" s="312" t="s">
        <v>1346</v>
      </c>
      <c r="C492" s="314" t="s">
        <v>198</v>
      </c>
      <c r="D492" s="327">
        <v>8.0719999999999992</v>
      </c>
    </row>
    <row r="493" spans="1:4" x14ac:dyDescent="0.25">
      <c r="A493" s="324" t="s">
        <v>1347</v>
      </c>
      <c r="B493" s="312" t="s">
        <v>1348</v>
      </c>
      <c r="C493" s="311" t="s">
        <v>522</v>
      </c>
      <c r="D493" s="327">
        <v>11.324</v>
      </c>
    </row>
    <row r="494" spans="1:4" x14ac:dyDescent="0.25">
      <c r="A494" s="324" t="s">
        <v>1349</v>
      </c>
      <c r="B494" s="312" t="s">
        <v>1350</v>
      </c>
      <c r="C494" s="311" t="s">
        <v>951</v>
      </c>
      <c r="D494" s="327">
        <v>54.72</v>
      </c>
    </row>
    <row r="495" spans="1:4" x14ac:dyDescent="0.25">
      <c r="A495" s="324" t="s">
        <v>1351</v>
      </c>
      <c r="B495" s="312" t="s">
        <v>1352</v>
      </c>
      <c r="C495" s="311" t="s">
        <v>1353</v>
      </c>
      <c r="D495" s="327">
        <v>22.488</v>
      </c>
    </row>
    <row r="496" spans="1:4" x14ac:dyDescent="0.25">
      <c r="A496" s="324" t="s">
        <v>1354</v>
      </c>
      <c r="B496" s="312" t="s">
        <v>1355</v>
      </c>
      <c r="C496" s="311" t="s">
        <v>522</v>
      </c>
      <c r="D496" s="327">
        <v>53.438000000000002</v>
      </c>
    </row>
    <row r="497" spans="1:4" x14ac:dyDescent="0.25">
      <c r="A497" s="326" t="s">
        <v>1356</v>
      </c>
      <c r="B497" s="312" t="s">
        <v>1357</v>
      </c>
      <c r="C497" s="311" t="s">
        <v>198</v>
      </c>
      <c r="D497" s="327">
        <v>0.86</v>
      </c>
    </row>
    <row r="498" spans="1:4" x14ac:dyDescent="0.25">
      <c r="A498" s="326" t="s">
        <v>1358</v>
      </c>
      <c r="B498" s="312" t="s">
        <v>1359</v>
      </c>
      <c r="C498" s="311" t="s">
        <v>198</v>
      </c>
      <c r="D498" s="327">
        <v>0.86</v>
      </c>
    </row>
    <row r="499" spans="1:4" x14ac:dyDescent="0.25">
      <c r="A499" s="324" t="s">
        <v>1360</v>
      </c>
      <c r="B499" s="312" t="s">
        <v>1361</v>
      </c>
      <c r="C499" s="311" t="s">
        <v>198</v>
      </c>
      <c r="D499" s="327">
        <v>2.8000000000000001E-2</v>
      </c>
    </row>
    <row r="500" spans="1:4" x14ac:dyDescent="0.25">
      <c r="A500" s="324" t="s">
        <v>1362</v>
      </c>
      <c r="B500" s="312" t="s">
        <v>2585</v>
      </c>
      <c r="C500" s="311" t="s">
        <v>209</v>
      </c>
      <c r="D500" s="327">
        <v>0.26200000000000001</v>
      </c>
    </row>
    <row r="501" spans="1:4" x14ac:dyDescent="0.25">
      <c r="A501" s="324" t="s">
        <v>1364</v>
      </c>
      <c r="B501" s="312" t="s">
        <v>1365</v>
      </c>
      <c r="C501" s="311" t="s">
        <v>200</v>
      </c>
      <c r="D501" s="327">
        <v>6.5000000000000002E-2</v>
      </c>
    </row>
    <row r="502" spans="1:4" x14ac:dyDescent="0.25">
      <c r="A502" s="324" t="s">
        <v>1366</v>
      </c>
      <c r="B502" s="312" t="s">
        <v>1367</v>
      </c>
      <c r="C502" s="311" t="s">
        <v>198</v>
      </c>
      <c r="D502" s="327">
        <v>0.94199999999999995</v>
      </c>
    </row>
    <row r="503" spans="1:4" x14ac:dyDescent="0.25">
      <c r="A503" s="324" t="s">
        <v>1368</v>
      </c>
      <c r="B503" s="312" t="s">
        <v>1369</v>
      </c>
      <c r="C503" s="311" t="s">
        <v>1134</v>
      </c>
      <c r="D503" s="327">
        <v>9.0719999999999992</v>
      </c>
    </row>
    <row r="504" spans="1:4" x14ac:dyDescent="0.25">
      <c r="A504" s="324" t="s">
        <v>1370</v>
      </c>
      <c r="B504" s="312" t="s">
        <v>2586</v>
      </c>
      <c r="C504" s="311" t="s">
        <v>848</v>
      </c>
      <c r="D504" s="327">
        <v>2.8000000000000001E-2</v>
      </c>
    </row>
    <row r="505" spans="1:4" x14ac:dyDescent="0.25">
      <c r="A505" s="324" t="s">
        <v>1913</v>
      </c>
      <c r="B505" s="312" t="s">
        <v>2459</v>
      </c>
      <c r="C505" s="311" t="s">
        <v>257</v>
      </c>
      <c r="D505" s="327">
        <v>95.221999999999994</v>
      </c>
    </row>
    <row r="506" spans="1:4" x14ac:dyDescent="0.25">
      <c r="A506" s="324" t="s">
        <v>1372</v>
      </c>
      <c r="B506" s="311" t="s">
        <v>1373</v>
      </c>
      <c r="C506" s="313" t="s">
        <v>214</v>
      </c>
      <c r="D506" s="327">
        <v>13.0245</v>
      </c>
    </row>
    <row r="507" spans="1:4" x14ac:dyDescent="0.25">
      <c r="A507" s="324" t="s">
        <v>2417</v>
      </c>
      <c r="B507" s="312" t="s">
        <v>2418</v>
      </c>
      <c r="C507" s="311" t="s">
        <v>216</v>
      </c>
      <c r="D507" s="327">
        <v>15.82985</v>
      </c>
    </row>
    <row r="508" spans="1:4" x14ac:dyDescent="0.25">
      <c r="A508" s="324" t="s">
        <v>2587</v>
      </c>
      <c r="B508" s="312" t="s">
        <v>2588</v>
      </c>
      <c r="C508" s="311" t="s">
        <v>216</v>
      </c>
      <c r="D508" s="327">
        <v>12.044</v>
      </c>
    </row>
    <row r="509" spans="1:4" x14ac:dyDescent="0.25">
      <c r="A509" s="324" t="s">
        <v>1374</v>
      </c>
      <c r="B509" s="312" t="s">
        <v>2589</v>
      </c>
      <c r="C509" s="311" t="s">
        <v>1376</v>
      </c>
      <c r="D509" s="327">
        <v>38035.207999999999</v>
      </c>
    </row>
    <row r="510" spans="1:4" x14ac:dyDescent="0.25">
      <c r="A510" s="324" t="s">
        <v>191</v>
      </c>
      <c r="B510" s="312" t="s">
        <v>1377</v>
      </c>
      <c r="C510" s="311" t="s">
        <v>199</v>
      </c>
      <c r="D510" s="327">
        <v>426.24900000000002</v>
      </c>
    </row>
    <row r="511" spans="1:4" x14ac:dyDescent="0.25">
      <c r="A511" s="324" t="s">
        <v>1378</v>
      </c>
      <c r="B511" s="312" t="s">
        <v>1379</v>
      </c>
      <c r="C511" s="311" t="s">
        <v>452</v>
      </c>
      <c r="D511" s="327">
        <v>44.798999999999999</v>
      </c>
    </row>
    <row r="512" spans="1:4" x14ac:dyDescent="0.25">
      <c r="A512" s="324" t="s">
        <v>1380</v>
      </c>
      <c r="B512" s="312" t="s">
        <v>1381</v>
      </c>
      <c r="C512" s="316" t="s">
        <v>1382</v>
      </c>
      <c r="D512" s="327">
        <v>121.27200000000001</v>
      </c>
    </row>
    <row r="513" spans="1:4" x14ac:dyDescent="0.25">
      <c r="A513" s="324" t="s">
        <v>1383</v>
      </c>
      <c r="B513" s="312" t="s">
        <v>2590</v>
      </c>
      <c r="C513" s="318" t="s">
        <v>360</v>
      </c>
      <c r="D513" s="327">
        <v>1.252</v>
      </c>
    </row>
    <row r="514" spans="1:4" x14ac:dyDescent="0.25">
      <c r="A514" s="324" t="s">
        <v>1385</v>
      </c>
      <c r="B514" s="312" t="s">
        <v>2591</v>
      </c>
      <c r="C514" s="311" t="s">
        <v>1042</v>
      </c>
      <c r="D514" s="327">
        <v>31.027000000000001</v>
      </c>
    </row>
    <row r="515" spans="1:4" x14ac:dyDescent="0.25">
      <c r="A515" s="324" t="s">
        <v>1387</v>
      </c>
      <c r="B515" s="312" t="s">
        <v>2592</v>
      </c>
      <c r="C515" s="311" t="s">
        <v>1042</v>
      </c>
      <c r="D515" s="327">
        <v>10.86</v>
      </c>
    </row>
    <row r="516" spans="1:4" x14ac:dyDescent="0.25">
      <c r="A516" s="324" t="s">
        <v>2285</v>
      </c>
      <c r="B516" s="312" t="s">
        <v>2593</v>
      </c>
      <c r="C516" s="311" t="s">
        <v>1042</v>
      </c>
      <c r="D516" s="327">
        <v>33.908000000000001</v>
      </c>
    </row>
    <row r="517" spans="1:4" x14ac:dyDescent="0.25">
      <c r="A517" s="324" t="s">
        <v>2287</v>
      </c>
      <c r="B517" s="312" t="s">
        <v>2594</v>
      </c>
      <c r="C517" s="311" t="s">
        <v>1042</v>
      </c>
      <c r="D517" s="327">
        <v>17.341000000000001</v>
      </c>
    </row>
    <row r="518" spans="1:4" x14ac:dyDescent="0.25">
      <c r="A518" s="324" t="s">
        <v>1389</v>
      </c>
      <c r="B518" s="312" t="s">
        <v>2595</v>
      </c>
      <c r="C518" s="311" t="s">
        <v>1042</v>
      </c>
      <c r="D518" s="327">
        <v>32.887999999999998</v>
      </c>
    </row>
    <row r="519" spans="1:4" x14ac:dyDescent="0.25">
      <c r="A519" s="324" t="s">
        <v>1391</v>
      </c>
      <c r="B519" s="312" t="s">
        <v>2596</v>
      </c>
      <c r="C519" s="311" t="s">
        <v>1042</v>
      </c>
      <c r="D519" s="327">
        <v>88.200999999999993</v>
      </c>
    </row>
    <row r="520" spans="1:4" x14ac:dyDescent="0.25">
      <c r="A520" s="324" t="s">
        <v>2289</v>
      </c>
      <c r="B520" s="312" t="s">
        <v>2597</v>
      </c>
      <c r="C520" s="311" t="s">
        <v>1042</v>
      </c>
      <c r="D520" s="327">
        <v>36.539000000000001</v>
      </c>
    </row>
    <row r="521" spans="1:4" x14ac:dyDescent="0.25">
      <c r="A521" s="324" t="s">
        <v>1393</v>
      </c>
      <c r="B521" s="312" t="s">
        <v>2598</v>
      </c>
      <c r="C521" s="311" t="s">
        <v>1042</v>
      </c>
      <c r="D521" s="327">
        <v>48.112000000000002</v>
      </c>
    </row>
    <row r="522" spans="1:4" x14ac:dyDescent="0.25">
      <c r="A522" s="324" t="s">
        <v>1395</v>
      </c>
      <c r="B522" s="312" t="s">
        <v>2599</v>
      </c>
      <c r="C522" s="311" t="s">
        <v>1042</v>
      </c>
      <c r="D522" s="327">
        <v>7.008</v>
      </c>
    </row>
    <row r="523" spans="1:4" x14ac:dyDescent="0.25">
      <c r="A523" s="324" t="s">
        <v>1397</v>
      </c>
      <c r="B523" s="312" t="s">
        <v>2600</v>
      </c>
      <c r="C523" s="311" t="s">
        <v>574</v>
      </c>
      <c r="D523" s="327">
        <v>247.34299999999999</v>
      </c>
    </row>
    <row r="524" spans="1:4" x14ac:dyDescent="0.25">
      <c r="A524" s="324" t="s">
        <v>1399</v>
      </c>
      <c r="B524" s="312" t="s">
        <v>2601</v>
      </c>
      <c r="C524" s="311" t="s">
        <v>574</v>
      </c>
      <c r="D524" s="327">
        <v>247.34299999999999</v>
      </c>
    </row>
    <row r="525" spans="1:4" x14ac:dyDescent="0.25">
      <c r="A525" s="324" t="s">
        <v>1401</v>
      </c>
      <c r="B525" s="312" t="s">
        <v>1402</v>
      </c>
      <c r="C525" s="313" t="s">
        <v>1042</v>
      </c>
      <c r="D525" s="327">
        <v>10.788</v>
      </c>
    </row>
    <row r="526" spans="1:4" x14ac:dyDescent="0.25">
      <c r="A526" s="324" t="s">
        <v>2419</v>
      </c>
      <c r="B526" s="312" t="s">
        <v>2602</v>
      </c>
      <c r="C526" s="311" t="s">
        <v>1042</v>
      </c>
      <c r="D526" s="327">
        <v>32.302</v>
      </c>
    </row>
    <row r="527" spans="1:4" x14ac:dyDescent="0.25">
      <c r="A527" s="324" t="s">
        <v>1403</v>
      </c>
      <c r="B527" s="312" t="s">
        <v>1404</v>
      </c>
      <c r="C527" s="313" t="s">
        <v>1042</v>
      </c>
      <c r="D527" s="327">
        <v>40.148000000000003</v>
      </c>
    </row>
    <row r="528" spans="1:4" x14ac:dyDescent="0.25">
      <c r="A528" s="324" t="s">
        <v>2297</v>
      </c>
      <c r="B528" s="312" t="s">
        <v>2603</v>
      </c>
      <c r="C528" s="313" t="s">
        <v>1042</v>
      </c>
      <c r="D528" s="327">
        <v>24.937999999999999</v>
      </c>
    </row>
    <row r="529" spans="1:4" x14ac:dyDescent="0.25">
      <c r="A529" s="324" t="s">
        <v>2421</v>
      </c>
      <c r="B529" s="312" t="s">
        <v>2604</v>
      </c>
      <c r="C529" s="313" t="s">
        <v>1042</v>
      </c>
      <c r="D529" s="327">
        <v>178.30799999999999</v>
      </c>
    </row>
    <row r="530" spans="1:4" x14ac:dyDescent="0.25">
      <c r="A530" s="324" t="s">
        <v>1429</v>
      </c>
      <c r="B530" s="312" t="s">
        <v>2605</v>
      </c>
      <c r="C530" s="319" t="s">
        <v>452</v>
      </c>
      <c r="D530" s="327">
        <v>0.87370775585792537</v>
      </c>
    </row>
    <row r="531" spans="1:4" x14ac:dyDescent="0.25">
      <c r="A531" s="325" t="s">
        <v>1445</v>
      </c>
      <c r="B531" s="312" t="s">
        <v>1446</v>
      </c>
      <c r="C531" s="314" t="s">
        <v>204</v>
      </c>
      <c r="D531" s="327">
        <v>22.931000000000001</v>
      </c>
    </row>
    <row r="532" spans="1:4" x14ac:dyDescent="0.25">
      <c r="A532" s="324" t="s">
        <v>1447</v>
      </c>
      <c r="B532" s="312" t="s">
        <v>1448</v>
      </c>
      <c r="C532" s="311" t="s">
        <v>204</v>
      </c>
      <c r="D532" s="327">
        <v>34.777999999999999</v>
      </c>
    </row>
    <row r="533" spans="1:4" x14ac:dyDescent="0.25">
      <c r="A533" s="324" t="s">
        <v>1449</v>
      </c>
      <c r="B533" s="312" t="s">
        <v>1450</v>
      </c>
      <c r="C533" s="311" t="s">
        <v>204</v>
      </c>
      <c r="D533" s="327">
        <v>52.167000000000002</v>
      </c>
    </row>
    <row r="534" spans="1:4" x14ac:dyDescent="0.25">
      <c r="A534" s="324" t="s">
        <v>1451</v>
      </c>
      <c r="B534" s="312" t="s">
        <v>2606</v>
      </c>
      <c r="C534" s="311" t="s">
        <v>204</v>
      </c>
      <c r="D534" s="327">
        <v>8.7999999999999995E-2</v>
      </c>
    </row>
    <row r="535" spans="1:4" x14ac:dyDescent="0.25">
      <c r="A535" s="324" t="s">
        <v>1610</v>
      </c>
      <c r="B535" s="312" t="s">
        <v>2607</v>
      </c>
      <c r="C535" s="311" t="s">
        <v>204</v>
      </c>
      <c r="D535" s="327">
        <v>0.182</v>
      </c>
    </row>
    <row r="536" spans="1:4" x14ac:dyDescent="0.25">
      <c r="A536" s="324" t="s">
        <v>1612</v>
      </c>
      <c r="B536" s="312" t="s">
        <v>2608</v>
      </c>
      <c r="C536" s="311" t="s">
        <v>204</v>
      </c>
      <c r="D536" s="327">
        <v>0.20399999999999999</v>
      </c>
    </row>
    <row r="537" spans="1:4" x14ac:dyDescent="0.25">
      <c r="A537" s="324" t="s">
        <v>1453</v>
      </c>
      <c r="B537" s="312" t="s">
        <v>2609</v>
      </c>
      <c r="C537" s="311" t="s">
        <v>204</v>
      </c>
      <c r="D537" s="327">
        <v>0.193</v>
      </c>
    </row>
    <row r="538" spans="1:4" x14ac:dyDescent="0.25">
      <c r="A538" s="324" t="s">
        <v>1455</v>
      </c>
      <c r="B538" s="312" t="s">
        <v>2610</v>
      </c>
      <c r="C538" s="311" t="s">
        <v>204</v>
      </c>
      <c r="D538" s="327">
        <v>0.80600000000000005</v>
      </c>
    </row>
    <row r="539" spans="1:4" x14ac:dyDescent="0.25">
      <c r="A539" s="324" t="s">
        <v>1457</v>
      </c>
      <c r="B539" s="312" t="s">
        <v>2611</v>
      </c>
      <c r="C539" s="311" t="s">
        <v>204</v>
      </c>
      <c r="D539" s="327">
        <v>0.17799999999999999</v>
      </c>
    </row>
    <row r="540" spans="1:4" x14ac:dyDescent="0.25">
      <c r="A540" s="333" t="s">
        <v>1459</v>
      </c>
      <c r="B540" s="334" t="s">
        <v>2612</v>
      </c>
      <c r="C540" s="335" t="s">
        <v>204</v>
      </c>
      <c r="D540" s="336">
        <v>0.125</v>
      </c>
    </row>
  </sheetData>
  <printOptions gridLines="1"/>
  <pageMargins left="0.5" right="0.2" top="0.5" bottom="0.5" header="0.2" footer="0.2"/>
  <pageSetup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822DB-F5AD-4FC3-A8AA-A687F8E0232E}">
  <dimension ref="A1:F541"/>
  <sheetViews>
    <sheetView topLeftCell="A47" workbookViewId="0">
      <selection activeCell="B47" sqref="B47"/>
    </sheetView>
  </sheetViews>
  <sheetFormatPr defaultRowHeight="14.4" x14ac:dyDescent="0.3"/>
  <cols>
    <col min="1" max="1" width="17" bestFit="1" customWidth="1"/>
    <col min="2" max="2" width="20.44140625" bestFit="1" customWidth="1"/>
    <col min="3" max="3" width="32.5546875" bestFit="1" customWidth="1"/>
    <col min="4" max="4" width="17.77734375" bestFit="1" customWidth="1"/>
  </cols>
  <sheetData>
    <row r="1" spans="1:4" x14ac:dyDescent="0.3">
      <c r="A1" s="53" t="s">
        <v>201</v>
      </c>
      <c r="B1" s="54" t="s">
        <v>202</v>
      </c>
      <c r="C1" s="294" t="s">
        <v>196</v>
      </c>
      <c r="D1" s="56" t="s">
        <v>197</v>
      </c>
    </row>
    <row r="2" spans="1:4" ht="27" x14ac:dyDescent="0.3">
      <c r="A2" s="223" t="s">
        <v>948</v>
      </c>
      <c r="B2" s="199" t="s">
        <v>949</v>
      </c>
      <c r="C2" s="198" t="s">
        <v>947</v>
      </c>
      <c r="D2" s="295">
        <v>0.85499999999999998</v>
      </c>
    </row>
    <row r="3" spans="1:4" x14ac:dyDescent="0.3">
      <c r="A3" s="223" t="s">
        <v>952</v>
      </c>
      <c r="B3" s="199" t="s">
        <v>953</v>
      </c>
      <c r="C3" s="198" t="s">
        <v>947</v>
      </c>
      <c r="D3" s="295">
        <v>1.907</v>
      </c>
    </row>
    <row r="4" spans="1:4" x14ac:dyDescent="0.3">
      <c r="A4" s="223" t="s">
        <v>261</v>
      </c>
      <c r="B4" s="199" t="s">
        <v>262</v>
      </c>
      <c r="C4" s="205" t="s">
        <v>199</v>
      </c>
      <c r="D4" s="295">
        <v>45.88</v>
      </c>
    </row>
    <row r="5" spans="1:4" x14ac:dyDescent="0.3">
      <c r="A5" s="223" t="s">
        <v>263</v>
      </c>
      <c r="B5" s="199" t="s">
        <v>264</v>
      </c>
      <c r="C5" s="198" t="s">
        <v>199</v>
      </c>
      <c r="D5" s="295">
        <v>1147.5239999999999</v>
      </c>
    </row>
    <row r="6" spans="1:4" x14ac:dyDescent="0.3">
      <c r="A6" s="225" t="s">
        <v>355</v>
      </c>
      <c r="B6" s="199" t="s">
        <v>356</v>
      </c>
      <c r="C6" s="198" t="s">
        <v>357</v>
      </c>
      <c r="D6" s="295">
        <v>7.7960000000000003</v>
      </c>
    </row>
    <row r="7" spans="1:4" ht="27" x14ac:dyDescent="0.3">
      <c r="A7" s="223" t="s">
        <v>503</v>
      </c>
      <c r="B7" s="199" t="s">
        <v>504</v>
      </c>
      <c r="C7" s="198" t="s">
        <v>284</v>
      </c>
      <c r="D7" s="295">
        <v>19.692</v>
      </c>
    </row>
    <row r="8" spans="1:4" x14ac:dyDescent="0.3">
      <c r="A8" s="223" t="s">
        <v>265</v>
      </c>
      <c r="B8" s="199" t="s">
        <v>266</v>
      </c>
      <c r="C8" s="198" t="s">
        <v>257</v>
      </c>
      <c r="D8" s="295">
        <v>1.5329999999999999</v>
      </c>
    </row>
    <row r="9" spans="1:4" ht="27" x14ac:dyDescent="0.3">
      <c r="A9" s="223" t="s">
        <v>1088</v>
      </c>
      <c r="B9" s="199" t="s">
        <v>1089</v>
      </c>
      <c r="C9" s="198" t="s">
        <v>405</v>
      </c>
      <c r="D9" s="295">
        <v>4.26</v>
      </c>
    </row>
    <row r="10" spans="1:4" x14ac:dyDescent="0.3">
      <c r="A10" s="223" t="s">
        <v>267</v>
      </c>
      <c r="B10" s="199" t="s">
        <v>268</v>
      </c>
      <c r="C10" s="198" t="s">
        <v>200</v>
      </c>
      <c r="D10" s="295">
        <v>7.4999999999999997E-2</v>
      </c>
    </row>
    <row r="11" spans="1:4" x14ac:dyDescent="0.3">
      <c r="A11" s="223" t="s">
        <v>2457</v>
      </c>
      <c r="B11" s="199" t="s">
        <v>2458</v>
      </c>
      <c r="C11" s="198" t="s">
        <v>311</v>
      </c>
      <c r="D11" s="295">
        <v>909.21500000000003</v>
      </c>
    </row>
    <row r="12" spans="1:4" x14ac:dyDescent="0.3">
      <c r="A12" s="223" t="s">
        <v>269</v>
      </c>
      <c r="B12" s="199" t="s">
        <v>270</v>
      </c>
      <c r="C12" s="198" t="s">
        <v>198</v>
      </c>
      <c r="D12" s="295">
        <v>0.60099999999999998</v>
      </c>
    </row>
    <row r="13" spans="1:4" ht="27" x14ac:dyDescent="0.3">
      <c r="A13" s="223" t="s">
        <v>271</v>
      </c>
      <c r="B13" s="199" t="s">
        <v>272</v>
      </c>
      <c r="C13" s="198" t="s">
        <v>273</v>
      </c>
      <c r="D13" s="295">
        <v>0.33600000000000002</v>
      </c>
    </row>
    <row r="14" spans="1:4" x14ac:dyDescent="0.3">
      <c r="A14" s="223" t="s">
        <v>274</v>
      </c>
      <c r="B14" s="199" t="s">
        <v>275</v>
      </c>
      <c r="C14" s="296" t="s">
        <v>198</v>
      </c>
      <c r="D14" s="295">
        <v>980.38099999999997</v>
      </c>
    </row>
    <row r="15" spans="1:4" ht="27" x14ac:dyDescent="0.3">
      <c r="A15" s="223" t="s">
        <v>1372</v>
      </c>
      <c r="B15" s="199" t="s">
        <v>1373</v>
      </c>
      <c r="C15" s="205" t="s">
        <v>214</v>
      </c>
      <c r="D15" s="295">
        <v>16.283949999999997</v>
      </c>
    </row>
    <row r="16" spans="1:4" ht="27" x14ac:dyDescent="0.3">
      <c r="A16" s="223" t="s">
        <v>276</v>
      </c>
      <c r="B16" s="199" t="s">
        <v>277</v>
      </c>
      <c r="C16" s="198" t="s">
        <v>198</v>
      </c>
      <c r="D16" s="295">
        <v>164.79599999999999</v>
      </c>
    </row>
    <row r="17" spans="1:4" ht="27" x14ac:dyDescent="0.3">
      <c r="A17" s="223" t="s">
        <v>1351</v>
      </c>
      <c r="B17" s="199" t="s">
        <v>1352</v>
      </c>
      <c r="C17" s="198" t="s">
        <v>1353</v>
      </c>
      <c r="D17" s="295">
        <v>22.488399999999999</v>
      </c>
    </row>
    <row r="18" spans="1:4" ht="27" x14ac:dyDescent="0.3">
      <c r="A18" s="223" t="s">
        <v>1354</v>
      </c>
      <c r="B18" s="199" t="s">
        <v>1355</v>
      </c>
      <c r="C18" s="198" t="s">
        <v>522</v>
      </c>
      <c r="D18" s="295">
        <v>53.438000000000002</v>
      </c>
    </row>
    <row r="19" spans="1:4" ht="27" x14ac:dyDescent="0.3">
      <c r="A19" s="223" t="s">
        <v>1349</v>
      </c>
      <c r="B19" s="199" t="s">
        <v>1350</v>
      </c>
      <c r="C19" s="198" t="s">
        <v>951</v>
      </c>
      <c r="D19" s="295">
        <v>54.72</v>
      </c>
    </row>
    <row r="20" spans="1:4" ht="27" x14ac:dyDescent="0.3">
      <c r="A20" s="223" t="s">
        <v>1347</v>
      </c>
      <c r="B20" s="199" t="s">
        <v>1348</v>
      </c>
      <c r="C20" s="198" t="s">
        <v>522</v>
      </c>
      <c r="D20" s="295">
        <v>11.324</v>
      </c>
    </row>
    <row r="21" spans="1:4" ht="27" x14ac:dyDescent="0.3">
      <c r="A21" s="223" t="s">
        <v>1098</v>
      </c>
      <c r="B21" s="199" t="s">
        <v>1099</v>
      </c>
      <c r="C21" s="198" t="s">
        <v>1100</v>
      </c>
      <c r="D21" s="295">
        <v>0.16600000000000001</v>
      </c>
    </row>
    <row r="22" spans="1:4" ht="27" x14ac:dyDescent="0.3">
      <c r="A22" s="223" t="s">
        <v>1090</v>
      </c>
      <c r="B22" s="199" t="s">
        <v>1091</v>
      </c>
      <c r="C22" s="198" t="s">
        <v>198</v>
      </c>
      <c r="D22" s="295">
        <v>0.109</v>
      </c>
    </row>
    <row r="23" spans="1:4" ht="27" x14ac:dyDescent="0.3">
      <c r="A23" s="223" t="s">
        <v>1094</v>
      </c>
      <c r="B23" s="199" t="s">
        <v>1095</v>
      </c>
      <c r="C23" s="198" t="s">
        <v>198</v>
      </c>
      <c r="D23" s="295">
        <v>4.8000000000000001E-2</v>
      </c>
    </row>
    <row r="24" spans="1:4" x14ac:dyDescent="0.3">
      <c r="A24" s="223" t="s">
        <v>2419</v>
      </c>
      <c r="B24" s="199" t="s">
        <v>2420</v>
      </c>
      <c r="C24" s="198" t="s">
        <v>1042</v>
      </c>
      <c r="D24" s="295">
        <v>32.146999999999998</v>
      </c>
    </row>
    <row r="25" spans="1:4" x14ac:dyDescent="0.3">
      <c r="A25" s="223" t="s">
        <v>1401</v>
      </c>
      <c r="B25" s="199" t="s">
        <v>1402</v>
      </c>
      <c r="C25" s="205" t="s">
        <v>1042</v>
      </c>
      <c r="D25" s="295">
        <v>10.089</v>
      </c>
    </row>
    <row r="26" spans="1:4" x14ac:dyDescent="0.3">
      <c r="A26" s="223" t="s">
        <v>2297</v>
      </c>
      <c r="B26" s="199" t="s">
        <v>1402</v>
      </c>
      <c r="C26" s="205" t="s">
        <v>1042</v>
      </c>
      <c r="D26" s="295">
        <v>30.74</v>
      </c>
    </row>
    <row r="27" spans="1:4" ht="27" x14ac:dyDescent="0.3">
      <c r="A27" s="223" t="s">
        <v>287</v>
      </c>
      <c r="B27" s="199" t="s">
        <v>288</v>
      </c>
      <c r="C27" s="198" t="s">
        <v>199</v>
      </c>
      <c r="D27" s="295">
        <v>4.851</v>
      </c>
    </row>
    <row r="28" spans="1:4" x14ac:dyDescent="0.3">
      <c r="A28" s="223" t="s">
        <v>853</v>
      </c>
      <c r="B28" s="199" t="s">
        <v>854</v>
      </c>
      <c r="C28" s="198" t="s">
        <v>198</v>
      </c>
      <c r="D28" s="295">
        <v>81.216999999999999</v>
      </c>
    </row>
    <row r="29" spans="1:4" x14ac:dyDescent="0.3">
      <c r="A29" s="223" t="s">
        <v>282</v>
      </c>
      <c r="B29" s="199" t="s">
        <v>283</v>
      </c>
      <c r="C29" s="198" t="s">
        <v>284</v>
      </c>
      <c r="D29" s="295">
        <v>412.27</v>
      </c>
    </row>
    <row r="30" spans="1:4" ht="27" x14ac:dyDescent="0.3">
      <c r="A30" s="223" t="s">
        <v>291</v>
      </c>
      <c r="B30" s="199" t="s">
        <v>292</v>
      </c>
      <c r="C30" s="198" t="s">
        <v>257</v>
      </c>
      <c r="D30" s="295">
        <v>1.766</v>
      </c>
    </row>
    <row r="31" spans="1:4" ht="27" x14ac:dyDescent="0.3">
      <c r="A31" s="223" t="s">
        <v>1020</v>
      </c>
      <c r="B31" s="199" t="s">
        <v>1021</v>
      </c>
      <c r="C31" s="198" t="s">
        <v>1022</v>
      </c>
      <c r="D31" s="295">
        <v>347.02300000000002</v>
      </c>
    </row>
    <row r="32" spans="1:4" ht="27" x14ac:dyDescent="0.3">
      <c r="A32" s="223" t="s">
        <v>293</v>
      </c>
      <c r="B32" s="199" t="s">
        <v>294</v>
      </c>
      <c r="C32" s="198" t="s">
        <v>295</v>
      </c>
      <c r="D32" s="295">
        <v>9.0440000000000005</v>
      </c>
    </row>
    <row r="33" spans="1:4" x14ac:dyDescent="0.3">
      <c r="A33" s="223" t="s">
        <v>296</v>
      </c>
      <c r="B33" s="199" t="s">
        <v>297</v>
      </c>
      <c r="C33" s="198" t="s">
        <v>209</v>
      </c>
      <c r="D33" s="295">
        <v>30.244</v>
      </c>
    </row>
    <row r="34" spans="1:4" ht="27" x14ac:dyDescent="0.3">
      <c r="A34" s="223" t="s">
        <v>298</v>
      </c>
      <c r="B34" s="199" t="s">
        <v>299</v>
      </c>
      <c r="C34" s="198" t="s">
        <v>199</v>
      </c>
      <c r="D34" s="295">
        <v>14.496</v>
      </c>
    </row>
    <row r="35" spans="1:4" ht="27" x14ac:dyDescent="0.3">
      <c r="A35" s="223" t="s">
        <v>300</v>
      </c>
      <c r="B35" s="199" t="s">
        <v>301</v>
      </c>
      <c r="C35" s="198" t="s">
        <v>199</v>
      </c>
      <c r="D35" s="295">
        <v>19.774000000000001</v>
      </c>
    </row>
    <row r="36" spans="1:4" x14ac:dyDescent="0.3">
      <c r="A36" s="223" t="s">
        <v>302</v>
      </c>
      <c r="B36" s="199" t="s">
        <v>303</v>
      </c>
      <c r="C36" s="198" t="s">
        <v>284</v>
      </c>
      <c r="D36" s="295">
        <v>1.2589999999999999</v>
      </c>
    </row>
    <row r="37" spans="1:4" ht="27" x14ac:dyDescent="0.3">
      <c r="A37" s="223" t="s">
        <v>304</v>
      </c>
      <c r="B37" s="199" t="s">
        <v>2400</v>
      </c>
      <c r="C37" s="198" t="s">
        <v>306</v>
      </c>
      <c r="D37" s="295">
        <v>3.0089999999999999</v>
      </c>
    </row>
    <row r="38" spans="1:4" x14ac:dyDescent="0.3">
      <c r="A38" s="223" t="s">
        <v>307</v>
      </c>
      <c r="B38" s="199" t="s">
        <v>308</v>
      </c>
      <c r="C38" s="198" t="s">
        <v>198</v>
      </c>
      <c r="D38" s="295">
        <v>0.498</v>
      </c>
    </row>
    <row r="39" spans="1:4" ht="27" x14ac:dyDescent="0.3">
      <c r="A39" s="223" t="s">
        <v>979</v>
      </c>
      <c r="B39" s="199" t="s">
        <v>980</v>
      </c>
      <c r="C39" s="206" t="s">
        <v>981</v>
      </c>
      <c r="D39" s="295">
        <v>0.97499999999999998</v>
      </c>
    </row>
    <row r="40" spans="1:4" x14ac:dyDescent="0.3">
      <c r="A40" s="223" t="s">
        <v>1000</v>
      </c>
      <c r="B40" s="199" t="s">
        <v>1001</v>
      </c>
      <c r="C40" s="198" t="s">
        <v>963</v>
      </c>
      <c r="D40" s="295">
        <v>1.9319999999999999</v>
      </c>
    </row>
    <row r="41" spans="1:4" ht="27" x14ac:dyDescent="0.3">
      <c r="A41" s="223" t="s">
        <v>998</v>
      </c>
      <c r="B41" s="199" t="s">
        <v>999</v>
      </c>
      <c r="C41" s="198" t="s">
        <v>963</v>
      </c>
      <c r="D41" s="295">
        <v>3.339</v>
      </c>
    </row>
    <row r="42" spans="1:4" ht="27" x14ac:dyDescent="0.3">
      <c r="A42" s="223" t="s">
        <v>1064</v>
      </c>
      <c r="B42" s="199" t="s">
        <v>1065</v>
      </c>
      <c r="C42" s="198" t="s">
        <v>553</v>
      </c>
      <c r="D42" s="295">
        <v>688.43700000000001</v>
      </c>
    </row>
    <row r="43" spans="1:4" x14ac:dyDescent="0.3">
      <c r="A43" s="223" t="s">
        <v>1385</v>
      </c>
      <c r="B43" s="199" t="s">
        <v>1386</v>
      </c>
      <c r="C43" s="198" t="s">
        <v>1042</v>
      </c>
      <c r="D43" s="295">
        <v>31.013000000000002</v>
      </c>
    </row>
    <row r="44" spans="1:4" ht="27" x14ac:dyDescent="0.3">
      <c r="A44" s="223" t="s">
        <v>1083</v>
      </c>
      <c r="B44" s="199" t="s">
        <v>1084</v>
      </c>
      <c r="C44" s="198" t="s">
        <v>1085</v>
      </c>
      <c r="D44" s="295">
        <v>9.3729999999999993</v>
      </c>
    </row>
    <row r="45" spans="1:4" ht="27" x14ac:dyDescent="0.3">
      <c r="A45" s="223" t="s">
        <v>1146</v>
      </c>
      <c r="B45" s="199" t="s">
        <v>1147</v>
      </c>
      <c r="C45" s="198" t="s">
        <v>198</v>
      </c>
      <c r="D45" s="295">
        <v>64.983999999999995</v>
      </c>
    </row>
    <row r="46" spans="1:4" ht="27" x14ac:dyDescent="0.3">
      <c r="A46" s="223" t="s">
        <v>316</v>
      </c>
      <c r="B46" s="199" t="s">
        <v>317</v>
      </c>
      <c r="C46" s="198" t="s">
        <v>318</v>
      </c>
      <c r="D46" s="295">
        <v>5.5E-2</v>
      </c>
    </row>
    <row r="47" spans="1:4" x14ac:dyDescent="0.3">
      <c r="A47" s="223" t="s">
        <v>1155</v>
      </c>
      <c r="B47" s="199" t="s">
        <v>1156</v>
      </c>
      <c r="C47" s="198" t="s">
        <v>198</v>
      </c>
      <c r="D47" s="295">
        <v>2.4340000000000002</v>
      </c>
    </row>
    <row r="48" spans="1:4" x14ac:dyDescent="0.3">
      <c r="A48" s="223" t="s">
        <v>1048</v>
      </c>
      <c r="B48" s="199" t="s">
        <v>1049</v>
      </c>
      <c r="C48" s="198" t="s">
        <v>209</v>
      </c>
      <c r="D48" s="295">
        <v>0.307</v>
      </c>
    </row>
    <row r="49" spans="1:4" x14ac:dyDescent="0.3">
      <c r="A49" s="223" t="s">
        <v>314</v>
      </c>
      <c r="B49" s="199" t="s">
        <v>315</v>
      </c>
      <c r="C49" s="198" t="s">
        <v>284</v>
      </c>
      <c r="D49" s="295">
        <v>3.266</v>
      </c>
    </row>
    <row r="50" spans="1:4" ht="27" x14ac:dyDescent="0.3">
      <c r="A50" s="223" t="s">
        <v>321</v>
      </c>
      <c r="B50" s="199" t="s">
        <v>322</v>
      </c>
      <c r="C50" s="198" t="s">
        <v>199</v>
      </c>
      <c r="D50" s="295">
        <v>167.244</v>
      </c>
    </row>
    <row r="51" spans="1:4" ht="27" x14ac:dyDescent="0.3">
      <c r="A51" s="223" t="s">
        <v>323</v>
      </c>
      <c r="B51" s="199" t="s">
        <v>324</v>
      </c>
      <c r="C51" s="198" t="s">
        <v>325</v>
      </c>
      <c r="D51" s="295">
        <v>76.521000000000001</v>
      </c>
    </row>
    <row r="52" spans="1:4" x14ac:dyDescent="0.3">
      <c r="A52" s="223" t="s">
        <v>326</v>
      </c>
      <c r="B52" s="199" t="s">
        <v>327</v>
      </c>
      <c r="C52" s="198" t="s">
        <v>311</v>
      </c>
      <c r="D52" s="295">
        <v>3341.06</v>
      </c>
    </row>
    <row r="53" spans="1:4" ht="27" x14ac:dyDescent="0.3">
      <c r="A53" s="223" t="s">
        <v>1814</v>
      </c>
      <c r="B53" s="199" t="s">
        <v>1815</v>
      </c>
      <c r="C53" s="198" t="s">
        <v>1274</v>
      </c>
      <c r="D53" s="295">
        <v>127.01</v>
      </c>
    </row>
    <row r="54" spans="1:4" ht="27" x14ac:dyDescent="0.3">
      <c r="A54" s="223">
        <v>90586</v>
      </c>
      <c r="B54" s="199" t="s">
        <v>210</v>
      </c>
      <c r="C54" s="198" t="s">
        <v>211</v>
      </c>
      <c r="D54" s="295">
        <v>127.01</v>
      </c>
    </row>
    <row r="55" spans="1:4" x14ac:dyDescent="0.3">
      <c r="A55" s="223">
        <v>90585</v>
      </c>
      <c r="B55" s="199" t="s">
        <v>208</v>
      </c>
      <c r="C55" s="198" t="s">
        <v>209</v>
      </c>
      <c r="D55" s="295">
        <v>127.01</v>
      </c>
    </row>
    <row r="56" spans="1:4" x14ac:dyDescent="0.3">
      <c r="A56" s="223" t="s">
        <v>328</v>
      </c>
      <c r="B56" s="199" t="s">
        <v>329</v>
      </c>
      <c r="C56" s="198" t="s">
        <v>198</v>
      </c>
      <c r="D56" s="295">
        <v>3.8340000000000001</v>
      </c>
    </row>
    <row r="57" spans="1:4" x14ac:dyDescent="0.3">
      <c r="A57" s="225" t="s">
        <v>330</v>
      </c>
      <c r="B57" s="199" t="s">
        <v>331</v>
      </c>
      <c r="C57" s="206" t="s">
        <v>199</v>
      </c>
      <c r="D57" s="295">
        <v>41.936999999999998</v>
      </c>
    </row>
    <row r="58" spans="1:4" ht="27" x14ac:dyDescent="0.3">
      <c r="A58" s="223" t="s">
        <v>416</v>
      </c>
      <c r="B58" s="199" t="s">
        <v>417</v>
      </c>
      <c r="C58" s="198" t="s">
        <v>418</v>
      </c>
      <c r="D58" s="295">
        <v>6.0549999999999997</v>
      </c>
    </row>
    <row r="59" spans="1:4" x14ac:dyDescent="0.3">
      <c r="A59" s="223" t="s">
        <v>1167</v>
      </c>
      <c r="B59" s="199" t="s">
        <v>1168</v>
      </c>
      <c r="C59" s="198" t="s">
        <v>199</v>
      </c>
      <c r="D59" s="295">
        <v>73.725999999999999</v>
      </c>
    </row>
    <row r="60" spans="1:4" x14ac:dyDescent="0.3">
      <c r="A60" s="223" t="s">
        <v>348</v>
      </c>
      <c r="B60" s="199" t="s">
        <v>349</v>
      </c>
      <c r="C60" s="198" t="s">
        <v>198</v>
      </c>
      <c r="D60" s="295">
        <v>1.333</v>
      </c>
    </row>
    <row r="61" spans="1:4" ht="27" x14ac:dyDescent="0.3">
      <c r="A61" s="223" t="s">
        <v>1173</v>
      </c>
      <c r="B61" s="199" t="s">
        <v>1174</v>
      </c>
      <c r="C61" s="198" t="s">
        <v>1175</v>
      </c>
      <c r="D61" s="295">
        <v>50.3</v>
      </c>
    </row>
    <row r="62" spans="1:4" x14ac:dyDescent="0.3">
      <c r="A62" s="223" t="s">
        <v>1176</v>
      </c>
      <c r="B62" s="199" t="s">
        <v>2414</v>
      </c>
      <c r="C62" s="198" t="s">
        <v>273</v>
      </c>
      <c r="D62" s="295">
        <v>46.262999999999998</v>
      </c>
    </row>
    <row r="63" spans="1:4" x14ac:dyDescent="0.3">
      <c r="A63" s="223" t="s">
        <v>1178</v>
      </c>
      <c r="B63" s="199" t="s">
        <v>1179</v>
      </c>
      <c r="C63" s="198" t="s">
        <v>198</v>
      </c>
      <c r="D63" s="295">
        <v>134.44399999999999</v>
      </c>
    </row>
    <row r="64" spans="1:4" ht="27" x14ac:dyDescent="0.3">
      <c r="A64" s="223" t="s">
        <v>1101</v>
      </c>
      <c r="B64" s="199" t="s">
        <v>1102</v>
      </c>
      <c r="C64" s="198" t="s">
        <v>396</v>
      </c>
      <c r="D64" s="295">
        <v>2.5289999999999999</v>
      </c>
    </row>
    <row r="65" spans="1:4" ht="27" x14ac:dyDescent="0.3">
      <c r="A65" s="223" t="s">
        <v>363</v>
      </c>
      <c r="B65" s="199" t="s">
        <v>364</v>
      </c>
      <c r="C65" s="198" t="s">
        <v>273</v>
      </c>
      <c r="D65" s="295">
        <v>3.4009999999999998</v>
      </c>
    </row>
    <row r="66" spans="1:4" ht="27" x14ac:dyDescent="0.3">
      <c r="A66" s="223" t="s">
        <v>345</v>
      </c>
      <c r="B66" s="199" t="s">
        <v>346</v>
      </c>
      <c r="C66" s="198" t="s">
        <v>347</v>
      </c>
      <c r="D66" s="295">
        <v>1280.518</v>
      </c>
    </row>
    <row r="67" spans="1:4" x14ac:dyDescent="0.3">
      <c r="A67" s="223" t="s">
        <v>365</v>
      </c>
      <c r="B67" s="199" t="s">
        <v>366</v>
      </c>
      <c r="C67" s="198" t="s">
        <v>198</v>
      </c>
      <c r="D67" s="295">
        <v>37.286000000000001</v>
      </c>
    </row>
    <row r="68" spans="1:4" ht="27" x14ac:dyDescent="0.3">
      <c r="A68" s="223" t="s">
        <v>367</v>
      </c>
      <c r="B68" s="199" t="s">
        <v>368</v>
      </c>
      <c r="C68" s="198" t="s">
        <v>198</v>
      </c>
      <c r="D68" s="295">
        <v>2.4</v>
      </c>
    </row>
    <row r="69" spans="1:4" x14ac:dyDescent="0.3">
      <c r="A69" s="223" t="s">
        <v>372</v>
      </c>
      <c r="B69" s="199" t="s">
        <v>373</v>
      </c>
      <c r="C69" s="198" t="s">
        <v>371</v>
      </c>
      <c r="D69" s="295">
        <v>46.63</v>
      </c>
    </row>
    <row r="70" spans="1:4" x14ac:dyDescent="0.3">
      <c r="A70" s="223" t="s">
        <v>374</v>
      </c>
      <c r="B70" s="199" t="s">
        <v>375</v>
      </c>
      <c r="C70" s="206" t="s">
        <v>371</v>
      </c>
      <c r="D70" s="295">
        <v>55.548999999999999</v>
      </c>
    </row>
    <row r="71" spans="1:4" x14ac:dyDescent="0.3">
      <c r="A71" s="223" t="s">
        <v>1180</v>
      </c>
      <c r="B71" s="199" t="s">
        <v>1181</v>
      </c>
      <c r="C71" s="198" t="s">
        <v>198</v>
      </c>
      <c r="D71" s="295">
        <v>154.22200000000001</v>
      </c>
    </row>
    <row r="72" spans="1:4" ht="27" x14ac:dyDescent="0.3">
      <c r="A72" s="223" t="s">
        <v>382</v>
      </c>
      <c r="B72" s="199" t="s">
        <v>383</v>
      </c>
      <c r="C72" s="198" t="s">
        <v>384</v>
      </c>
      <c r="D72" s="295">
        <v>2301.567</v>
      </c>
    </row>
    <row r="73" spans="1:4" ht="27" x14ac:dyDescent="0.3">
      <c r="A73" s="223" t="s">
        <v>379</v>
      </c>
      <c r="B73" s="199" t="s">
        <v>380</v>
      </c>
      <c r="C73" s="198" t="s">
        <v>381</v>
      </c>
      <c r="D73" s="295">
        <v>3.5139999999999998</v>
      </c>
    </row>
    <row r="74" spans="1:4" x14ac:dyDescent="0.3">
      <c r="A74" s="223" t="s">
        <v>390</v>
      </c>
      <c r="B74" s="199" t="s">
        <v>391</v>
      </c>
      <c r="C74" s="198" t="s">
        <v>198</v>
      </c>
      <c r="D74" s="295">
        <v>92.51</v>
      </c>
    </row>
    <row r="75" spans="1:4" ht="27" x14ac:dyDescent="0.3">
      <c r="A75" s="223" t="s">
        <v>1120</v>
      </c>
      <c r="B75" s="199" t="s">
        <v>1121</v>
      </c>
      <c r="C75" s="198" t="s">
        <v>445</v>
      </c>
      <c r="D75" s="295">
        <v>4.1310000000000002</v>
      </c>
    </row>
    <row r="76" spans="1:4" ht="27" x14ac:dyDescent="0.3">
      <c r="A76" s="223" t="s">
        <v>1122</v>
      </c>
      <c r="B76" s="199" t="s">
        <v>1123</v>
      </c>
      <c r="C76" s="198" t="s">
        <v>284</v>
      </c>
      <c r="D76" s="295">
        <v>11.853999999999999</v>
      </c>
    </row>
    <row r="77" spans="1:4" x14ac:dyDescent="0.3">
      <c r="A77" s="223" t="s">
        <v>1040</v>
      </c>
      <c r="B77" s="199" t="s">
        <v>1041</v>
      </c>
      <c r="C77" s="198" t="s">
        <v>1042</v>
      </c>
      <c r="D77" s="295">
        <v>2.9750000000000001</v>
      </c>
    </row>
    <row r="78" spans="1:4" x14ac:dyDescent="0.3">
      <c r="A78" s="223" t="s">
        <v>1184</v>
      </c>
      <c r="B78" s="199" t="s">
        <v>1185</v>
      </c>
      <c r="C78" s="198" t="s">
        <v>209</v>
      </c>
      <c r="D78" s="295">
        <v>3.6230000000000002</v>
      </c>
    </row>
    <row r="79" spans="1:4" x14ac:dyDescent="0.3">
      <c r="A79" s="223" t="s">
        <v>1188</v>
      </c>
      <c r="B79" s="199" t="s">
        <v>1189</v>
      </c>
      <c r="C79" s="198" t="s">
        <v>257</v>
      </c>
      <c r="D79" s="295">
        <v>3850.0569999999998</v>
      </c>
    </row>
    <row r="80" spans="1:4" x14ac:dyDescent="0.3">
      <c r="A80" s="223" t="s">
        <v>388</v>
      </c>
      <c r="B80" s="199" t="s">
        <v>389</v>
      </c>
      <c r="C80" s="198" t="s">
        <v>200</v>
      </c>
      <c r="D80" s="295">
        <v>11.648999999999999</v>
      </c>
    </row>
    <row r="81" spans="1:4" ht="27" x14ac:dyDescent="0.3">
      <c r="A81" s="224">
        <v>90674</v>
      </c>
      <c r="B81" s="199" t="s">
        <v>219</v>
      </c>
      <c r="C81" s="208" t="s">
        <v>216</v>
      </c>
      <c r="D81" s="295">
        <v>22.936</v>
      </c>
    </row>
    <row r="82" spans="1:4" ht="27" x14ac:dyDescent="0.3">
      <c r="A82" s="223" t="s">
        <v>399</v>
      </c>
      <c r="B82" s="199" t="s">
        <v>400</v>
      </c>
      <c r="C82" s="198" t="s">
        <v>284</v>
      </c>
      <c r="D82" s="295">
        <v>1.0029999999999999</v>
      </c>
    </row>
    <row r="83" spans="1:4" ht="27" x14ac:dyDescent="0.3">
      <c r="A83" s="223" t="s">
        <v>401</v>
      </c>
      <c r="B83" s="199" t="s">
        <v>402</v>
      </c>
      <c r="C83" s="198" t="s">
        <v>284</v>
      </c>
      <c r="D83" s="295">
        <v>2.452</v>
      </c>
    </row>
    <row r="84" spans="1:4" ht="27" x14ac:dyDescent="0.3">
      <c r="A84" s="223" t="s">
        <v>414</v>
      </c>
      <c r="B84" s="199" t="s">
        <v>415</v>
      </c>
      <c r="C84" s="198" t="s">
        <v>405</v>
      </c>
      <c r="D84" s="295">
        <v>1.528</v>
      </c>
    </row>
    <row r="85" spans="1:4" ht="27" x14ac:dyDescent="0.3">
      <c r="A85" s="223" t="s">
        <v>403</v>
      </c>
      <c r="B85" s="199" t="s">
        <v>404</v>
      </c>
      <c r="C85" s="198" t="s">
        <v>405</v>
      </c>
      <c r="D85" s="295">
        <v>4.3150000000000004</v>
      </c>
    </row>
    <row r="86" spans="1:4" x14ac:dyDescent="0.3">
      <c r="A86" s="223" t="s">
        <v>419</v>
      </c>
      <c r="B86" s="199" t="s">
        <v>420</v>
      </c>
      <c r="C86" s="198" t="s">
        <v>199</v>
      </c>
      <c r="D86" s="295">
        <v>2.456</v>
      </c>
    </row>
    <row r="87" spans="1:4" ht="27" x14ac:dyDescent="0.3">
      <c r="A87" s="223" t="s">
        <v>409</v>
      </c>
      <c r="B87" s="199" t="s">
        <v>410</v>
      </c>
      <c r="C87" s="198" t="s">
        <v>295</v>
      </c>
      <c r="D87" s="295">
        <v>0.69799999999999995</v>
      </c>
    </row>
    <row r="88" spans="1:4" ht="27" x14ac:dyDescent="0.3">
      <c r="A88" s="225" t="s">
        <v>426</v>
      </c>
      <c r="B88" s="199" t="s">
        <v>427</v>
      </c>
      <c r="C88" s="198" t="s">
        <v>198</v>
      </c>
      <c r="D88" s="295">
        <v>7.4269999999999996</v>
      </c>
    </row>
    <row r="89" spans="1:4" x14ac:dyDescent="0.3">
      <c r="A89" s="223" t="s">
        <v>1190</v>
      </c>
      <c r="B89" s="199" t="s">
        <v>1191</v>
      </c>
      <c r="C89" s="198" t="s">
        <v>199</v>
      </c>
      <c r="D89" s="295">
        <v>56.646999999999998</v>
      </c>
    </row>
    <row r="90" spans="1:4" ht="27" x14ac:dyDescent="0.3">
      <c r="A90" s="223" t="s">
        <v>428</v>
      </c>
      <c r="B90" s="199" t="s">
        <v>429</v>
      </c>
      <c r="C90" s="198" t="s">
        <v>405</v>
      </c>
      <c r="D90" s="295">
        <v>40.116999999999997</v>
      </c>
    </row>
    <row r="91" spans="1:4" ht="27" x14ac:dyDescent="0.3">
      <c r="A91" s="223" t="s">
        <v>736</v>
      </c>
      <c r="B91" s="199" t="s">
        <v>737</v>
      </c>
      <c r="C91" s="198" t="s">
        <v>738</v>
      </c>
      <c r="D91" s="295">
        <v>27.446000000000002</v>
      </c>
    </row>
    <row r="92" spans="1:4" ht="27" x14ac:dyDescent="0.3">
      <c r="A92" s="223" t="s">
        <v>518</v>
      </c>
      <c r="B92" s="199" t="s">
        <v>519</v>
      </c>
      <c r="C92" s="198" t="s">
        <v>284</v>
      </c>
      <c r="D92" s="295">
        <v>84.515000000000001</v>
      </c>
    </row>
    <row r="93" spans="1:4" ht="27" x14ac:dyDescent="0.3">
      <c r="A93" s="223" t="s">
        <v>875</v>
      </c>
      <c r="B93" s="199" t="s">
        <v>876</v>
      </c>
      <c r="C93" s="198" t="s">
        <v>209</v>
      </c>
      <c r="D93" s="295">
        <v>24.518000000000001</v>
      </c>
    </row>
    <row r="94" spans="1:4" ht="27" x14ac:dyDescent="0.3">
      <c r="A94" s="223" t="s">
        <v>430</v>
      </c>
      <c r="B94" s="199" t="s">
        <v>431</v>
      </c>
      <c r="C94" s="198" t="s">
        <v>432</v>
      </c>
      <c r="D94" s="295">
        <v>24.036999999999999</v>
      </c>
    </row>
    <row r="95" spans="1:4" x14ac:dyDescent="0.3">
      <c r="A95" s="223" t="s">
        <v>435</v>
      </c>
      <c r="B95" s="199" t="s">
        <v>436</v>
      </c>
      <c r="C95" s="198" t="s">
        <v>437</v>
      </c>
      <c r="D95" s="295">
        <v>509.41</v>
      </c>
    </row>
    <row r="96" spans="1:4" ht="27" x14ac:dyDescent="0.3">
      <c r="A96" s="223" t="s">
        <v>438</v>
      </c>
      <c r="B96" s="199" t="s">
        <v>439</v>
      </c>
      <c r="C96" s="198" t="s">
        <v>295</v>
      </c>
      <c r="D96" s="295">
        <v>6.8760000000000003</v>
      </c>
    </row>
    <row r="97" spans="1:4" x14ac:dyDescent="0.3">
      <c r="A97" s="223" t="s">
        <v>440</v>
      </c>
      <c r="B97" s="199" t="s">
        <v>441</v>
      </c>
      <c r="C97" s="198" t="s">
        <v>442</v>
      </c>
      <c r="D97" s="295">
        <v>1.46</v>
      </c>
    </row>
    <row r="98" spans="1:4" ht="27" x14ac:dyDescent="0.3">
      <c r="A98" s="223" t="s">
        <v>1192</v>
      </c>
      <c r="B98" s="199" t="s">
        <v>1193</v>
      </c>
      <c r="C98" s="198" t="s">
        <v>199</v>
      </c>
      <c r="D98" s="295">
        <v>2.0760000000000001</v>
      </c>
    </row>
    <row r="99" spans="1:4" x14ac:dyDescent="0.3">
      <c r="A99" s="223" t="s">
        <v>1157</v>
      </c>
      <c r="B99" s="199" t="s">
        <v>1158</v>
      </c>
      <c r="C99" s="198" t="s">
        <v>198</v>
      </c>
      <c r="D99" s="295">
        <v>152.43100000000001</v>
      </c>
    </row>
    <row r="100" spans="1:4" ht="27" x14ac:dyDescent="0.3">
      <c r="A100" s="223" t="s">
        <v>433</v>
      </c>
      <c r="B100" s="199" t="s">
        <v>434</v>
      </c>
      <c r="C100" s="198" t="s">
        <v>198</v>
      </c>
      <c r="D100" s="295">
        <v>13.545</v>
      </c>
    </row>
    <row r="101" spans="1:4" ht="27" x14ac:dyDescent="0.3">
      <c r="A101" s="223" t="s">
        <v>443</v>
      </c>
      <c r="B101" s="199" t="s">
        <v>444</v>
      </c>
      <c r="C101" s="198" t="s">
        <v>445</v>
      </c>
      <c r="D101" s="295">
        <v>11.044</v>
      </c>
    </row>
    <row r="102" spans="1:4" ht="27" x14ac:dyDescent="0.3">
      <c r="A102" s="223" t="s">
        <v>446</v>
      </c>
      <c r="B102" s="199" t="s">
        <v>447</v>
      </c>
      <c r="C102" s="198" t="s">
        <v>318</v>
      </c>
      <c r="D102" s="295">
        <v>41.149000000000001</v>
      </c>
    </row>
    <row r="103" spans="1:4" ht="27" x14ac:dyDescent="0.3">
      <c r="A103" s="223" t="s">
        <v>450</v>
      </c>
      <c r="B103" s="199" t="s">
        <v>451</v>
      </c>
      <c r="C103" s="198" t="s">
        <v>452</v>
      </c>
      <c r="D103" s="295">
        <v>8.1210000000000004</v>
      </c>
    </row>
    <row r="104" spans="1:4" x14ac:dyDescent="0.3">
      <c r="A104" s="223" t="s">
        <v>453</v>
      </c>
      <c r="B104" s="199" t="s">
        <v>454</v>
      </c>
      <c r="C104" s="198" t="s">
        <v>455</v>
      </c>
      <c r="D104" s="295">
        <v>3536.424</v>
      </c>
    </row>
    <row r="105" spans="1:4" ht="27" x14ac:dyDescent="0.3">
      <c r="A105" s="223" t="s">
        <v>456</v>
      </c>
      <c r="B105" s="199" t="s">
        <v>2401</v>
      </c>
      <c r="C105" s="198" t="s">
        <v>458</v>
      </c>
      <c r="D105" s="295">
        <v>38.433</v>
      </c>
    </row>
    <row r="106" spans="1:4" ht="27" x14ac:dyDescent="0.3">
      <c r="A106" s="223" t="s">
        <v>1103</v>
      </c>
      <c r="B106" s="199" t="s">
        <v>1104</v>
      </c>
      <c r="C106" s="198" t="s">
        <v>199</v>
      </c>
      <c r="D106" s="295">
        <v>0.83199999999999996</v>
      </c>
    </row>
    <row r="107" spans="1:4" ht="27" x14ac:dyDescent="0.3">
      <c r="A107" s="225" t="s">
        <v>459</v>
      </c>
      <c r="B107" s="199" t="s">
        <v>460</v>
      </c>
      <c r="C107" s="198" t="s">
        <v>461</v>
      </c>
      <c r="D107" s="295">
        <v>2670.2350000000001</v>
      </c>
    </row>
    <row r="108" spans="1:4" ht="27" x14ac:dyDescent="0.3">
      <c r="A108" s="223" t="s">
        <v>1196</v>
      </c>
      <c r="B108" s="199" t="s">
        <v>1197</v>
      </c>
      <c r="C108" s="198" t="s">
        <v>257</v>
      </c>
      <c r="D108" s="295">
        <v>42.31</v>
      </c>
    </row>
    <row r="109" spans="1:4" ht="27" x14ac:dyDescent="0.3">
      <c r="A109" s="223" t="s">
        <v>1124</v>
      </c>
      <c r="B109" s="199" t="s">
        <v>1125</v>
      </c>
      <c r="C109" s="198" t="s">
        <v>553</v>
      </c>
      <c r="D109" s="295">
        <v>3.2589999999999999</v>
      </c>
    </row>
    <row r="110" spans="1:4" ht="27" x14ac:dyDescent="0.3">
      <c r="A110" s="223" t="s">
        <v>1070</v>
      </c>
      <c r="B110" s="199" t="s">
        <v>1071</v>
      </c>
      <c r="C110" s="198" t="s">
        <v>295</v>
      </c>
      <c r="D110" s="295">
        <v>40.445999999999998</v>
      </c>
    </row>
    <row r="111" spans="1:4" ht="27" x14ac:dyDescent="0.3">
      <c r="A111" s="223" t="s">
        <v>1050</v>
      </c>
      <c r="B111" s="199" t="s">
        <v>1051</v>
      </c>
      <c r="C111" s="198" t="s">
        <v>257</v>
      </c>
      <c r="D111" s="295">
        <v>3.0470000000000002</v>
      </c>
    </row>
    <row r="112" spans="1:4" ht="27" x14ac:dyDescent="0.3">
      <c r="A112" s="223" t="s">
        <v>1068</v>
      </c>
      <c r="B112" s="199" t="s">
        <v>1069</v>
      </c>
      <c r="C112" s="198" t="s">
        <v>553</v>
      </c>
      <c r="D112" s="295">
        <v>0.82799999999999996</v>
      </c>
    </row>
    <row r="113" spans="1:4" x14ac:dyDescent="0.3">
      <c r="A113" s="223" t="s">
        <v>1397</v>
      </c>
      <c r="B113" s="199" t="s">
        <v>1398</v>
      </c>
      <c r="C113" s="198" t="s">
        <v>574</v>
      </c>
      <c r="D113" s="295">
        <v>227.869</v>
      </c>
    </row>
    <row r="114" spans="1:4" ht="27" x14ac:dyDescent="0.3">
      <c r="A114" s="223" t="s">
        <v>1198</v>
      </c>
      <c r="B114" s="199" t="s">
        <v>1199</v>
      </c>
      <c r="C114" s="198" t="s">
        <v>257</v>
      </c>
      <c r="D114" s="295">
        <v>0.79600000000000004</v>
      </c>
    </row>
    <row r="115" spans="1:4" x14ac:dyDescent="0.3">
      <c r="A115" s="223" t="s">
        <v>1816</v>
      </c>
      <c r="B115" s="199" t="s">
        <v>1817</v>
      </c>
      <c r="C115" s="198" t="s">
        <v>199</v>
      </c>
      <c r="D115" s="295">
        <v>595.17700000000002</v>
      </c>
    </row>
    <row r="116" spans="1:4" ht="27" x14ac:dyDescent="0.3">
      <c r="A116" s="223" t="s">
        <v>462</v>
      </c>
      <c r="B116" s="199" t="s">
        <v>463</v>
      </c>
      <c r="C116" s="198" t="s">
        <v>464</v>
      </c>
      <c r="D116" s="295">
        <v>1127.626</v>
      </c>
    </row>
    <row r="117" spans="1:4" x14ac:dyDescent="0.3">
      <c r="A117" s="223" t="s">
        <v>954</v>
      </c>
      <c r="B117" s="199" t="s">
        <v>955</v>
      </c>
      <c r="C117" s="198" t="s">
        <v>956</v>
      </c>
      <c r="D117" s="295">
        <v>3.677</v>
      </c>
    </row>
    <row r="118" spans="1:4" ht="27" x14ac:dyDescent="0.3">
      <c r="A118" s="223" t="s">
        <v>1202</v>
      </c>
      <c r="B118" s="199" t="s">
        <v>1203</v>
      </c>
      <c r="C118" s="198" t="s">
        <v>257</v>
      </c>
      <c r="D118" s="295">
        <v>4.1959999999999997</v>
      </c>
    </row>
    <row r="119" spans="1:4" x14ac:dyDescent="0.3">
      <c r="A119" s="223" t="s">
        <v>1200</v>
      </c>
      <c r="B119" s="199" t="s">
        <v>1201</v>
      </c>
      <c r="C119" s="198" t="s">
        <v>396</v>
      </c>
      <c r="D119" s="295">
        <v>1276.3779999999999</v>
      </c>
    </row>
    <row r="120" spans="1:4" x14ac:dyDescent="0.3">
      <c r="A120" s="223" t="s">
        <v>623</v>
      </c>
      <c r="B120" s="199" t="s">
        <v>624</v>
      </c>
      <c r="C120" s="198" t="s">
        <v>625</v>
      </c>
      <c r="D120" s="295">
        <v>15.922000000000001</v>
      </c>
    </row>
    <row r="121" spans="1:4" x14ac:dyDescent="0.3">
      <c r="A121" s="223" t="s">
        <v>467</v>
      </c>
      <c r="B121" s="199" t="s">
        <v>468</v>
      </c>
      <c r="C121" s="198" t="s">
        <v>198</v>
      </c>
      <c r="D121" s="295">
        <v>0.89400000000000002</v>
      </c>
    </row>
    <row r="122" spans="1:4" ht="27" x14ac:dyDescent="0.3">
      <c r="A122" s="223" t="s">
        <v>471</v>
      </c>
      <c r="B122" s="199" t="s">
        <v>472</v>
      </c>
      <c r="C122" s="198" t="s">
        <v>452</v>
      </c>
      <c r="D122" s="295">
        <v>3.8519999999999999</v>
      </c>
    </row>
    <row r="123" spans="1:4" ht="27" x14ac:dyDescent="0.3">
      <c r="A123" s="223" t="s">
        <v>469</v>
      </c>
      <c r="B123" s="199" t="s">
        <v>470</v>
      </c>
      <c r="C123" s="198" t="s">
        <v>452</v>
      </c>
      <c r="D123" s="295">
        <v>3.8519999999999999</v>
      </c>
    </row>
    <row r="124" spans="1:4" x14ac:dyDescent="0.3">
      <c r="A124" s="223" t="s">
        <v>1206</v>
      </c>
      <c r="B124" s="199" t="s">
        <v>1207</v>
      </c>
      <c r="C124" s="198" t="s">
        <v>199</v>
      </c>
      <c r="D124" s="295">
        <v>31.391999999999999</v>
      </c>
    </row>
    <row r="125" spans="1:4" x14ac:dyDescent="0.3">
      <c r="A125" s="223" t="s">
        <v>479</v>
      </c>
      <c r="B125" s="199" t="s">
        <v>480</v>
      </c>
      <c r="C125" s="198" t="s">
        <v>198</v>
      </c>
      <c r="D125" s="295">
        <v>19.661000000000001</v>
      </c>
    </row>
    <row r="126" spans="1:4" ht="27" x14ac:dyDescent="0.3">
      <c r="A126" s="223" t="s">
        <v>481</v>
      </c>
      <c r="B126" s="199" t="s">
        <v>482</v>
      </c>
      <c r="C126" s="198" t="s">
        <v>284</v>
      </c>
      <c r="D126" s="295">
        <v>8.7140000000000004</v>
      </c>
    </row>
    <row r="127" spans="1:4" x14ac:dyDescent="0.3">
      <c r="A127" s="225" t="s">
        <v>1211</v>
      </c>
      <c r="B127" s="199" t="s">
        <v>1212</v>
      </c>
      <c r="C127" s="198" t="s">
        <v>198</v>
      </c>
      <c r="D127" s="295">
        <v>3.681</v>
      </c>
    </row>
    <row r="128" spans="1:4" x14ac:dyDescent="0.3">
      <c r="A128" s="223" t="s">
        <v>483</v>
      </c>
      <c r="B128" s="199" t="s">
        <v>484</v>
      </c>
      <c r="C128" s="198" t="s">
        <v>198</v>
      </c>
      <c r="D128" s="295">
        <v>16.516999999999999</v>
      </c>
    </row>
    <row r="129" spans="1:4" ht="27" x14ac:dyDescent="0.3">
      <c r="A129" s="223" t="s">
        <v>485</v>
      </c>
      <c r="B129" s="199" t="s">
        <v>486</v>
      </c>
      <c r="C129" s="198" t="s">
        <v>200</v>
      </c>
      <c r="D129" s="295">
        <v>17.768000000000001</v>
      </c>
    </row>
    <row r="130" spans="1:4" x14ac:dyDescent="0.3">
      <c r="A130" s="223" t="s">
        <v>1389</v>
      </c>
      <c r="B130" s="199" t="s">
        <v>1390</v>
      </c>
      <c r="C130" s="198" t="s">
        <v>1042</v>
      </c>
      <c r="D130" s="295">
        <v>32.783999999999999</v>
      </c>
    </row>
    <row r="131" spans="1:4" ht="27" x14ac:dyDescent="0.3">
      <c r="A131" s="223" t="s">
        <v>1026</v>
      </c>
      <c r="B131" s="199" t="s">
        <v>1027</v>
      </c>
      <c r="C131" s="198" t="s">
        <v>273</v>
      </c>
      <c r="D131" s="295">
        <v>200.82900000000001</v>
      </c>
    </row>
    <row r="132" spans="1:4" ht="27" x14ac:dyDescent="0.3">
      <c r="A132" s="223" t="s">
        <v>499</v>
      </c>
      <c r="B132" s="199" t="s">
        <v>500</v>
      </c>
      <c r="C132" s="198" t="s">
        <v>198</v>
      </c>
      <c r="D132" s="295">
        <v>0.11700000000000001</v>
      </c>
    </row>
    <row r="133" spans="1:4" ht="27" x14ac:dyDescent="0.3">
      <c r="A133" s="223" t="s">
        <v>514</v>
      </c>
      <c r="B133" s="199" t="s">
        <v>515</v>
      </c>
      <c r="C133" s="198" t="s">
        <v>295</v>
      </c>
      <c r="D133" s="295">
        <v>196.898</v>
      </c>
    </row>
    <row r="134" spans="1:4" x14ac:dyDescent="0.3">
      <c r="A134" s="223" t="s">
        <v>904</v>
      </c>
      <c r="B134" s="199" t="s">
        <v>905</v>
      </c>
      <c r="C134" s="198" t="s">
        <v>200</v>
      </c>
      <c r="D134" s="295">
        <v>9.5340000000000007</v>
      </c>
    </row>
    <row r="135" spans="1:4" x14ac:dyDescent="0.3">
      <c r="A135" s="223" t="s">
        <v>332</v>
      </c>
      <c r="B135" s="199" t="s">
        <v>333</v>
      </c>
      <c r="C135" s="198" t="s">
        <v>311</v>
      </c>
      <c r="D135" s="295">
        <v>69.247</v>
      </c>
    </row>
    <row r="136" spans="1:4" ht="27" x14ac:dyDescent="0.3">
      <c r="A136" s="223" t="s">
        <v>507</v>
      </c>
      <c r="B136" s="199" t="s">
        <v>508</v>
      </c>
      <c r="C136" s="198" t="s">
        <v>464</v>
      </c>
      <c r="D136" s="295">
        <v>3039.529</v>
      </c>
    </row>
    <row r="137" spans="1:4" x14ac:dyDescent="0.3">
      <c r="A137" s="223" t="s">
        <v>505</v>
      </c>
      <c r="B137" s="199" t="s">
        <v>506</v>
      </c>
      <c r="C137" s="198" t="s">
        <v>396</v>
      </c>
      <c r="D137" s="295">
        <v>8.3390000000000004</v>
      </c>
    </row>
    <row r="138" spans="1:4" x14ac:dyDescent="0.3">
      <c r="A138" s="223" t="s">
        <v>319</v>
      </c>
      <c r="B138" s="199" t="s">
        <v>320</v>
      </c>
      <c r="C138" s="198" t="s">
        <v>257</v>
      </c>
      <c r="D138" s="295">
        <v>45.28</v>
      </c>
    </row>
    <row r="139" spans="1:4" ht="27" x14ac:dyDescent="0.3">
      <c r="A139" s="223" t="s">
        <v>525</v>
      </c>
      <c r="B139" s="199" t="s">
        <v>526</v>
      </c>
      <c r="C139" s="198" t="s">
        <v>209</v>
      </c>
      <c r="D139" s="295">
        <v>7.5510000000000002</v>
      </c>
    </row>
    <row r="140" spans="1:4" ht="27" x14ac:dyDescent="0.3">
      <c r="A140" s="223" t="s">
        <v>520</v>
      </c>
      <c r="B140" s="199" t="s">
        <v>521</v>
      </c>
      <c r="C140" s="198" t="s">
        <v>522</v>
      </c>
      <c r="D140" s="295">
        <v>497.79700000000003</v>
      </c>
    </row>
    <row r="141" spans="1:4" ht="27" x14ac:dyDescent="0.3">
      <c r="A141" s="223" t="s">
        <v>1362</v>
      </c>
      <c r="B141" s="199" t="s">
        <v>1363</v>
      </c>
      <c r="C141" s="198" t="s">
        <v>209</v>
      </c>
      <c r="D141" s="295">
        <v>0.26200000000000001</v>
      </c>
    </row>
    <row r="142" spans="1:4" ht="27" x14ac:dyDescent="0.3">
      <c r="A142" s="223" t="s">
        <v>516</v>
      </c>
      <c r="B142" s="199" t="s">
        <v>517</v>
      </c>
      <c r="C142" s="198" t="s">
        <v>209</v>
      </c>
      <c r="D142" s="295">
        <v>0.61499999999999999</v>
      </c>
    </row>
    <row r="143" spans="1:4" x14ac:dyDescent="0.3">
      <c r="A143" s="223" t="s">
        <v>527</v>
      </c>
      <c r="B143" s="199" t="s">
        <v>528</v>
      </c>
      <c r="C143" s="198" t="s">
        <v>199</v>
      </c>
      <c r="D143" s="295">
        <v>0.80100000000000005</v>
      </c>
    </row>
    <row r="144" spans="1:4" x14ac:dyDescent="0.3">
      <c r="A144" s="223" t="s">
        <v>192</v>
      </c>
      <c r="B144" s="199" t="s">
        <v>1213</v>
      </c>
      <c r="C144" s="198" t="s">
        <v>198</v>
      </c>
      <c r="D144" s="295">
        <v>2.5569999999999999</v>
      </c>
    </row>
    <row r="145" spans="1:4" ht="27" x14ac:dyDescent="0.3">
      <c r="A145" s="223" t="s">
        <v>1913</v>
      </c>
      <c r="B145" s="199" t="s">
        <v>2459</v>
      </c>
      <c r="C145" s="198" t="s">
        <v>257</v>
      </c>
      <c r="D145" s="295">
        <v>101.23636</v>
      </c>
    </row>
    <row r="146" spans="1:4" x14ac:dyDescent="0.3">
      <c r="A146" s="223" t="s">
        <v>531</v>
      </c>
      <c r="B146" s="199" t="s">
        <v>532</v>
      </c>
      <c r="C146" s="198" t="s">
        <v>491</v>
      </c>
      <c r="D146" s="295">
        <v>0.44700000000000001</v>
      </c>
    </row>
    <row r="147" spans="1:4" x14ac:dyDescent="0.3">
      <c r="A147" s="223" t="s">
        <v>1811</v>
      </c>
      <c r="B147" s="199" t="s">
        <v>1812</v>
      </c>
      <c r="C147" s="198" t="s">
        <v>199</v>
      </c>
      <c r="D147" s="295">
        <v>0.72299999999999998</v>
      </c>
    </row>
    <row r="148" spans="1:4" ht="27" x14ac:dyDescent="0.3">
      <c r="A148" s="223" t="s">
        <v>1105</v>
      </c>
      <c r="B148" s="199" t="s">
        <v>1106</v>
      </c>
      <c r="C148" s="198" t="s">
        <v>198</v>
      </c>
      <c r="D148" s="295">
        <v>42.5</v>
      </c>
    </row>
    <row r="149" spans="1:4" ht="27" x14ac:dyDescent="0.3">
      <c r="A149" s="223" t="s">
        <v>1144</v>
      </c>
      <c r="B149" s="199" t="s">
        <v>1145</v>
      </c>
      <c r="C149" s="198" t="s">
        <v>199</v>
      </c>
      <c r="D149" s="295">
        <v>2.415</v>
      </c>
    </row>
    <row r="150" spans="1:4" x14ac:dyDescent="0.3">
      <c r="A150" s="223" t="s">
        <v>191</v>
      </c>
      <c r="B150" s="199" t="s">
        <v>1377</v>
      </c>
      <c r="C150" s="198" t="s">
        <v>199</v>
      </c>
      <c r="D150" s="295">
        <v>429.59500000000003</v>
      </c>
    </row>
    <row r="151" spans="1:4" x14ac:dyDescent="0.3">
      <c r="A151" s="223" t="s">
        <v>1368</v>
      </c>
      <c r="B151" s="199" t="s">
        <v>1369</v>
      </c>
      <c r="C151" s="198" t="s">
        <v>1134</v>
      </c>
      <c r="D151" s="295">
        <v>9.2279999999999998</v>
      </c>
    </row>
    <row r="152" spans="1:4" x14ac:dyDescent="0.3">
      <c r="A152" s="223" t="s">
        <v>535</v>
      </c>
      <c r="B152" s="199" t="s">
        <v>536</v>
      </c>
      <c r="C152" s="198" t="s">
        <v>198</v>
      </c>
      <c r="D152" s="295">
        <v>419.74799999999999</v>
      </c>
    </row>
    <row r="153" spans="1:4" x14ac:dyDescent="0.3">
      <c r="A153" s="223" t="s">
        <v>537</v>
      </c>
      <c r="B153" s="199" t="s">
        <v>538</v>
      </c>
      <c r="C153" s="198" t="s">
        <v>199</v>
      </c>
      <c r="D153" s="295">
        <v>223.2</v>
      </c>
    </row>
    <row r="154" spans="1:4" ht="27" x14ac:dyDescent="0.3">
      <c r="A154" s="223" t="s">
        <v>376</v>
      </c>
      <c r="B154" s="199" t="s">
        <v>377</v>
      </c>
      <c r="C154" s="198" t="s">
        <v>378</v>
      </c>
      <c r="D154" s="295">
        <v>5594.4219999999996</v>
      </c>
    </row>
    <row r="155" spans="1:4" x14ac:dyDescent="0.3">
      <c r="A155" s="223" t="s">
        <v>2421</v>
      </c>
      <c r="B155" s="199" t="s">
        <v>2422</v>
      </c>
      <c r="C155" s="205" t="s">
        <v>1042</v>
      </c>
      <c r="D155" s="295">
        <v>161.499</v>
      </c>
    </row>
    <row r="156" spans="1:4" ht="27" x14ac:dyDescent="0.3">
      <c r="A156" s="223" t="s">
        <v>1383</v>
      </c>
      <c r="B156" s="199" t="s">
        <v>1384</v>
      </c>
      <c r="C156" s="198" t="s">
        <v>360</v>
      </c>
      <c r="D156" s="295">
        <v>1.232</v>
      </c>
    </row>
    <row r="157" spans="1:4" x14ac:dyDescent="0.3">
      <c r="A157" s="223" t="s">
        <v>473</v>
      </c>
      <c r="B157" s="199" t="s">
        <v>474</v>
      </c>
      <c r="C157" s="198" t="s">
        <v>432</v>
      </c>
      <c r="D157" s="295">
        <v>12.32</v>
      </c>
    </row>
    <row r="158" spans="1:4" x14ac:dyDescent="0.3">
      <c r="A158" s="223" t="s">
        <v>475</v>
      </c>
      <c r="B158" s="199" t="s">
        <v>476</v>
      </c>
      <c r="C158" s="208" t="s">
        <v>452</v>
      </c>
      <c r="D158" s="295">
        <v>1.5649999999999999</v>
      </c>
    </row>
    <row r="159" spans="1:4" x14ac:dyDescent="0.3">
      <c r="A159" s="223" t="s">
        <v>477</v>
      </c>
      <c r="B159" s="199" t="s">
        <v>478</v>
      </c>
      <c r="C159" s="208" t="s">
        <v>452</v>
      </c>
      <c r="D159" s="295">
        <v>1.5649999999999999</v>
      </c>
    </row>
    <row r="160" spans="1:4" x14ac:dyDescent="0.3">
      <c r="A160" s="223" t="s">
        <v>543</v>
      </c>
      <c r="B160" s="199" t="s">
        <v>544</v>
      </c>
      <c r="C160" s="198" t="s">
        <v>396</v>
      </c>
      <c r="D160" s="295">
        <v>15.510999999999999</v>
      </c>
    </row>
    <row r="161" spans="1:4" ht="27" x14ac:dyDescent="0.3">
      <c r="A161" s="223" t="s">
        <v>1219</v>
      </c>
      <c r="B161" s="199" t="s">
        <v>1220</v>
      </c>
      <c r="C161" s="198" t="s">
        <v>273</v>
      </c>
      <c r="D161" s="295">
        <v>108.08199999999999</v>
      </c>
    </row>
    <row r="162" spans="1:4" x14ac:dyDescent="0.3">
      <c r="A162" s="223" t="s">
        <v>545</v>
      </c>
      <c r="B162" s="199" t="s">
        <v>546</v>
      </c>
      <c r="C162" s="198" t="s">
        <v>284</v>
      </c>
      <c r="D162" s="295">
        <v>48.884999999999998</v>
      </c>
    </row>
    <row r="163" spans="1:4" x14ac:dyDescent="0.3">
      <c r="A163" s="223" t="s">
        <v>1148</v>
      </c>
      <c r="B163" s="199" t="s">
        <v>1149</v>
      </c>
      <c r="C163" s="198" t="s">
        <v>1150</v>
      </c>
      <c r="D163" s="295">
        <v>402.74299999999999</v>
      </c>
    </row>
    <row r="164" spans="1:4" ht="27" x14ac:dyDescent="0.3">
      <c r="A164" s="223" t="s">
        <v>547</v>
      </c>
      <c r="B164" s="199" t="s">
        <v>548</v>
      </c>
      <c r="C164" s="198" t="s">
        <v>284</v>
      </c>
      <c r="D164" s="295">
        <v>59.704000000000001</v>
      </c>
    </row>
    <row r="165" spans="1:4" ht="27" x14ac:dyDescent="0.3">
      <c r="A165" s="223" t="s">
        <v>549</v>
      </c>
      <c r="B165" s="199" t="s">
        <v>550</v>
      </c>
      <c r="C165" s="198" t="s">
        <v>199</v>
      </c>
      <c r="D165" s="295">
        <v>17.248000000000001</v>
      </c>
    </row>
    <row r="166" spans="1:4" ht="27" x14ac:dyDescent="0.3">
      <c r="A166" s="223" t="s">
        <v>554</v>
      </c>
      <c r="B166" s="199" t="s">
        <v>555</v>
      </c>
      <c r="C166" s="198" t="s">
        <v>257</v>
      </c>
      <c r="D166" s="295">
        <v>404.09300000000002</v>
      </c>
    </row>
    <row r="167" spans="1:4" x14ac:dyDescent="0.3">
      <c r="A167" s="223" t="s">
        <v>1221</v>
      </c>
      <c r="B167" s="199" t="s">
        <v>1222</v>
      </c>
      <c r="C167" s="198" t="s">
        <v>199</v>
      </c>
      <c r="D167" s="295">
        <v>0.62</v>
      </c>
    </row>
    <row r="168" spans="1:4" x14ac:dyDescent="0.3">
      <c r="A168" s="223" t="s">
        <v>1128</v>
      </c>
      <c r="B168" s="199" t="s">
        <v>1129</v>
      </c>
      <c r="C168" s="198" t="s">
        <v>209</v>
      </c>
      <c r="D168" s="295">
        <v>73.55</v>
      </c>
    </row>
    <row r="169" spans="1:4" x14ac:dyDescent="0.3">
      <c r="A169" s="223" t="s">
        <v>1036</v>
      </c>
      <c r="B169" s="199" t="s">
        <v>1037</v>
      </c>
      <c r="C169" s="198" t="s">
        <v>1035</v>
      </c>
      <c r="D169" s="295">
        <v>157.345</v>
      </c>
    </row>
    <row r="170" spans="1:4" ht="27" x14ac:dyDescent="0.3">
      <c r="A170" s="223" t="s">
        <v>1004</v>
      </c>
      <c r="B170" s="199" t="s">
        <v>1005</v>
      </c>
      <c r="C170" s="198" t="s">
        <v>963</v>
      </c>
      <c r="D170" s="295">
        <v>2.9209999999999998</v>
      </c>
    </row>
    <row r="171" spans="1:4" x14ac:dyDescent="0.3">
      <c r="A171" s="223" t="s">
        <v>994</v>
      </c>
      <c r="B171" s="199" t="s">
        <v>995</v>
      </c>
      <c r="C171" s="198" t="s">
        <v>963</v>
      </c>
      <c r="D171" s="295">
        <v>1.306</v>
      </c>
    </row>
    <row r="172" spans="1:4" ht="27" x14ac:dyDescent="0.3">
      <c r="A172" s="223" t="s">
        <v>992</v>
      </c>
      <c r="B172" s="199" t="s">
        <v>993</v>
      </c>
      <c r="C172" s="198" t="s">
        <v>963</v>
      </c>
      <c r="D172" s="295">
        <v>1.123</v>
      </c>
    </row>
    <row r="173" spans="1:4" ht="27" x14ac:dyDescent="0.3">
      <c r="A173" s="223" t="s">
        <v>1002</v>
      </c>
      <c r="B173" s="199" t="s">
        <v>1003</v>
      </c>
      <c r="C173" s="198" t="s">
        <v>963</v>
      </c>
      <c r="D173" s="295">
        <v>1.2509999999999999</v>
      </c>
    </row>
    <row r="174" spans="1:4" ht="27" x14ac:dyDescent="0.3">
      <c r="A174" s="223" t="s">
        <v>996</v>
      </c>
      <c r="B174" s="199" t="s">
        <v>997</v>
      </c>
      <c r="C174" s="198" t="s">
        <v>963</v>
      </c>
      <c r="D174" s="295">
        <v>1.5149999999999999</v>
      </c>
    </row>
    <row r="175" spans="1:4" x14ac:dyDescent="0.3">
      <c r="A175" s="223" t="s">
        <v>986</v>
      </c>
      <c r="B175" s="199" t="s">
        <v>987</v>
      </c>
      <c r="C175" s="206" t="s">
        <v>452</v>
      </c>
      <c r="D175" s="295">
        <v>1.923</v>
      </c>
    </row>
    <row r="176" spans="1:4" x14ac:dyDescent="0.3">
      <c r="A176" s="223" t="s">
        <v>988</v>
      </c>
      <c r="B176" s="199" t="s">
        <v>989</v>
      </c>
      <c r="C176" s="198" t="s">
        <v>963</v>
      </c>
      <c r="D176" s="295">
        <v>1.0149999999999999</v>
      </c>
    </row>
    <row r="177" spans="1:4" ht="27" x14ac:dyDescent="0.3">
      <c r="A177" s="223" t="s">
        <v>1008</v>
      </c>
      <c r="B177" s="199" t="s">
        <v>1009</v>
      </c>
      <c r="C177" s="198" t="s">
        <v>963</v>
      </c>
      <c r="D177" s="295">
        <v>1.9690000000000001</v>
      </c>
    </row>
    <row r="178" spans="1:4" ht="27" x14ac:dyDescent="0.3">
      <c r="A178" s="224" t="s">
        <v>972</v>
      </c>
      <c r="B178" s="199" t="s">
        <v>973</v>
      </c>
      <c r="C178" s="198" t="s">
        <v>963</v>
      </c>
      <c r="D178" s="295">
        <v>1.2889999999999999</v>
      </c>
    </row>
    <row r="179" spans="1:4" ht="27" x14ac:dyDescent="0.3">
      <c r="A179" s="223" t="s">
        <v>990</v>
      </c>
      <c r="B179" s="199" t="s">
        <v>991</v>
      </c>
      <c r="C179" s="198" t="s">
        <v>963</v>
      </c>
      <c r="D179" s="295">
        <v>1.204</v>
      </c>
    </row>
    <row r="180" spans="1:4" ht="27" x14ac:dyDescent="0.3">
      <c r="A180" s="223" t="s">
        <v>968</v>
      </c>
      <c r="B180" s="199" t="s">
        <v>969</v>
      </c>
      <c r="C180" s="198" t="s">
        <v>963</v>
      </c>
      <c r="D180" s="295">
        <v>8.1940000000000008</v>
      </c>
    </row>
    <row r="181" spans="1:4" ht="27" x14ac:dyDescent="0.3">
      <c r="A181" s="223" t="s">
        <v>857</v>
      </c>
      <c r="B181" s="199" t="s">
        <v>2410</v>
      </c>
      <c r="C181" s="198" t="s">
        <v>273</v>
      </c>
      <c r="D181" s="295">
        <v>0.48</v>
      </c>
    </row>
    <row r="182" spans="1:4" x14ac:dyDescent="0.3">
      <c r="A182" s="225" t="s">
        <v>1358</v>
      </c>
      <c r="B182" s="199" t="s">
        <v>1359</v>
      </c>
      <c r="C182" s="198" t="s">
        <v>198</v>
      </c>
      <c r="D182" s="295">
        <v>0.88600000000000001</v>
      </c>
    </row>
    <row r="183" spans="1:4" x14ac:dyDescent="0.3">
      <c r="A183" s="225" t="s">
        <v>1356</v>
      </c>
      <c r="B183" s="199" t="s">
        <v>1357</v>
      </c>
      <c r="C183" s="198" t="s">
        <v>198</v>
      </c>
      <c r="D183" s="295">
        <v>0.88600000000000001</v>
      </c>
    </row>
    <row r="184" spans="1:4" x14ac:dyDescent="0.3">
      <c r="A184" s="223" t="s">
        <v>598</v>
      </c>
      <c r="B184" s="199" t="s">
        <v>599</v>
      </c>
      <c r="C184" s="198" t="s">
        <v>284</v>
      </c>
      <c r="D184" s="295">
        <v>32.677999999999997</v>
      </c>
    </row>
    <row r="185" spans="1:4" x14ac:dyDescent="0.3">
      <c r="A185" s="223" t="s">
        <v>1227</v>
      </c>
      <c r="B185" s="199" t="s">
        <v>1228</v>
      </c>
      <c r="C185" s="198" t="s">
        <v>284</v>
      </c>
      <c r="D185" s="295">
        <v>74.793999999999997</v>
      </c>
    </row>
    <row r="186" spans="1:4" ht="27" x14ac:dyDescent="0.3">
      <c r="A186" s="223">
        <v>90630</v>
      </c>
      <c r="B186" s="199" t="s">
        <v>2396</v>
      </c>
      <c r="C186" s="198" t="s">
        <v>1810</v>
      </c>
      <c r="D186" s="295">
        <v>20.343299999999996</v>
      </c>
    </row>
    <row r="187" spans="1:4" x14ac:dyDescent="0.3">
      <c r="A187" s="223" t="s">
        <v>562</v>
      </c>
      <c r="B187" s="199" t="s">
        <v>563</v>
      </c>
      <c r="C187" s="198" t="s">
        <v>442</v>
      </c>
      <c r="D187" s="295">
        <v>4.3159999999999998</v>
      </c>
    </row>
    <row r="188" spans="1:4" ht="27" x14ac:dyDescent="0.3">
      <c r="A188" s="223" t="s">
        <v>1223</v>
      </c>
      <c r="B188" s="199" t="s">
        <v>1224</v>
      </c>
      <c r="C188" s="198" t="s">
        <v>209</v>
      </c>
      <c r="D188" s="295">
        <v>59.676000000000002</v>
      </c>
    </row>
    <row r="189" spans="1:4" ht="27" x14ac:dyDescent="0.3">
      <c r="A189" s="224" t="s">
        <v>1028</v>
      </c>
      <c r="B189" s="199" t="s">
        <v>1029</v>
      </c>
      <c r="C189" s="207" t="s">
        <v>318</v>
      </c>
      <c r="D189" s="295">
        <v>490.947</v>
      </c>
    </row>
    <row r="190" spans="1:4" ht="27" x14ac:dyDescent="0.3">
      <c r="A190" s="223" t="s">
        <v>1023</v>
      </c>
      <c r="B190" s="199" t="s">
        <v>1024</v>
      </c>
      <c r="C190" s="198" t="s">
        <v>1025</v>
      </c>
      <c r="D190" s="295">
        <v>20114.597000000002</v>
      </c>
    </row>
    <row r="191" spans="1:4" x14ac:dyDescent="0.3">
      <c r="A191" s="223" t="s">
        <v>1225</v>
      </c>
      <c r="B191" s="199" t="s">
        <v>1226</v>
      </c>
      <c r="C191" s="198" t="s">
        <v>284</v>
      </c>
      <c r="D191" s="295">
        <v>1.6919999999999999</v>
      </c>
    </row>
    <row r="192" spans="1:4" ht="27" x14ac:dyDescent="0.3">
      <c r="A192" s="223" t="s">
        <v>788</v>
      </c>
      <c r="B192" s="199" t="s">
        <v>789</v>
      </c>
      <c r="C192" s="198" t="s">
        <v>553</v>
      </c>
      <c r="D192" s="295">
        <v>21.512</v>
      </c>
    </row>
    <row r="193" spans="1:4" ht="27" x14ac:dyDescent="0.3">
      <c r="A193" s="223" t="s">
        <v>2417</v>
      </c>
      <c r="B193" s="199" t="s">
        <v>2418</v>
      </c>
      <c r="C193" s="198" t="s">
        <v>216</v>
      </c>
      <c r="D193" s="295">
        <v>16.283949999999997</v>
      </c>
    </row>
    <row r="194" spans="1:4" x14ac:dyDescent="0.3">
      <c r="A194" s="223" t="s">
        <v>628</v>
      </c>
      <c r="B194" s="199" t="s">
        <v>629</v>
      </c>
      <c r="C194" s="198" t="s">
        <v>396</v>
      </c>
      <c r="D194" s="295">
        <v>2.2469999999999999</v>
      </c>
    </row>
    <row r="195" spans="1:4" ht="27" x14ac:dyDescent="0.3">
      <c r="A195" s="223" t="s">
        <v>1086</v>
      </c>
      <c r="B195" s="199" t="s">
        <v>1087</v>
      </c>
      <c r="C195" s="198" t="s">
        <v>239</v>
      </c>
      <c r="D195" s="295">
        <v>10.486000000000001</v>
      </c>
    </row>
    <row r="196" spans="1:4" x14ac:dyDescent="0.3">
      <c r="A196" s="223" t="s">
        <v>564</v>
      </c>
      <c r="B196" s="199" t="s">
        <v>565</v>
      </c>
      <c r="C196" s="198" t="s">
        <v>198</v>
      </c>
      <c r="D196" s="295">
        <v>1.8560000000000001</v>
      </c>
    </row>
    <row r="197" spans="1:4" x14ac:dyDescent="0.3">
      <c r="A197" s="223" t="s">
        <v>664</v>
      </c>
      <c r="B197" s="199" t="s">
        <v>665</v>
      </c>
      <c r="C197" s="198" t="s">
        <v>311</v>
      </c>
      <c r="D197" s="295">
        <v>1.4470000000000001</v>
      </c>
    </row>
    <row r="198" spans="1:4" ht="27" x14ac:dyDescent="0.3">
      <c r="A198" s="223" t="s">
        <v>248</v>
      </c>
      <c r="B198" s="199" t="s">
        <v>249</v>
      </c>
      <c r="C198" s="198" t="s">
        <v>204</v>
      </c>
      <c r="D198" s="295">
        <v>1.8180000000000001</v>
      </c>
    </row>
    <row r="199" spans="1:4" x14ac:dyDescent="0.3">
      <c r="A199" s="223" t="s">
        <v>252</v>
      </c>
      <c r="B199" s="199" t="s">
        <v>253</v>
      </c>
      <c r="C199" s="205" t="s">
        <v>254</v>
      </c>
      <c r="D199" s="295">
        <v>0.38500000000000001</v>
      </c>
    </row>
    <row r="200" spans="1:4" ht="27" x14ac:dyDescent="0.3">
      <c r="A200" s="223" t="s">
        <v>2460</v>
      </c>
      <c r="B200" s="199" t="s">
        <v>2461</v>
      </c>
      <c r="C200" s="198" t="s">
        <v>204</v>
      </c>
      <c r="D200" s="295">
        <v>18.111999999999998</v>
      </c>
    </row>
    <row r="201" spans="1:4" ht="27" x14ac:dyDescent="0.3">
      <c r="A201" s="225" t="s">
        <v>250</v>
      </c>
      <c r="B201" s="199" t="s">
        <v>251</v>
      </c>
      <c r="C201" s="206" t="s">
        <v>204</v>
      </c>
      <c r="D201" s="295">
        <v>14.018000000000001</v>
      </c>
    </row>
    <row r="202" spans="1:4" x14ac:dyDescent="0.3">
      <c r="A202" s="223" t="s">
        <v>568</v>
      </c>
      <c r="B202" s="199" t="s">
        <v>569</v>
      </c>
      <c r="C202" s="198" t="s">
        <v>198</v>
      </c>
      <c r="D202" s="295">
        <v>364.45299999999997</v>
      </c>
    </row>
    <row r="203" spans="1:4" ht="27" x14ac:dyDescent="0.3">
      <c r="A203" s="223" t="s">
        <v>583</v>
      </c>
      <c r="B203" s="199" t="s">
        <v>584</v>
      </c>
      <c r="C203" s="198" t="s">
        <v>585</v>
      </c>
      <c r="D203" s="295">
        <v>358.49400000000003</v>
      </c>
    </row>
    <row r="204" spans="1:4" ht="27" x14ac:dyDescent="0.3">
      <c r="A204" s="223" t="s">
        <v>572</v>
      </c>
      <c r="B204" s="199" t="s">
        <v>573</v>
      </c>
      <c r="C204" s="198" t="s">
        <v>574</v>
      </c>
      <c r="D204" s="295">
        <v>35.848999999999997</v>
      </c>
    </row>
    <row r="205" spans="1:4" ht="27" x14ac:dyDescent="0.3">
      <c r="A205" s="223" t="s">
        <v>592</v>
      </c>
      <c r="B205" s="199" t="s">
        <v>593</v>
      </c>
      <c r="C205" s="198" t="s">
        <v>284</v>
      </c>
      <c r="D205" s="295">
        <v>40.195999999999998</v>
      </c>
    </row>
    <row r="206" spans="1:4" x14ac:dyDescent="0.3">
      <c r="A206" s="223" t="s">
        <v>1395</v>
      </c>
      <c r="B206" s="199" t="s">
        <v>1396</v>
      </c>
      <c r="C206" s="198" t="s">
        <v>1042</v>
      </c>
      <c r="D206" s="295">
        <v>6.9219999999999997</v>
      </c>
    </row>
    <row r="207" spans="1:4" x14ac:dyDescent="0.3">
      <c r="A207" s="223" t="s">
        <v>579</v>
      </c>
      <c r="B207" s="199" t="s">
        <v>580</v>
      </c>
      <c r="C207" s="198" t="s">
        <v>284</v>
      </c>
      <c r="D207" s="295">
        <v>39.005000000000003</v>
      </c>
    </row>
    <row r="208" spans="1:4" x14ac:dyDescent="0.3">
      <c r="A208" s="223" t="s">
        <v>586</v>
      </c>
      <c r="B208" s="199" t="s">
        <v>587</v>
      </c>
      <c r="C208" s="198" t="s">
        <v>284</v>
      </c>
      <c r="D208" s="295">
        <v>36.441000000000003</v>
      </c>
    </row>
    <row r="209" spans="1:4" ht="27" x14ac:dyDescent="0.3">
      <c r="A209" s="223" t="s">
        <v>594</v>
      </c>
      <c r="B209" s="199" t="s">
        <v>595</v>
      </c>
      <c r="C209" s="198" t="s">
        <v>284</v>
      </c>
      <c r="D209" s="295">
        <v>61.636000000000003</v>
      </c>
    </row>
    <row r="210" spans="1:4" ht="27" x14ac:dyDescent="0.3">
      <c r="A210" s="223" t="s">
        <v>602</v>
      </c>
      <c r="B210" s="199" t="s">
        <v>603</v>
      </c>
      <c r="C210" s="198" t="s">
        <v>494</v>
      </c>
      <c r="D210" s="295">
        <v>1.5069999999999999</v>
      </c>
    </row>
    <row r="211" spans="1:4" x14ac:dyDescent="0.3">
      <c r="A211" s="223" t="s">
        <v>2116</v>
      </c>
      <c r="B211" s="199" t="s">
        <v>2117</v>
      </c>
      <c r="C211" s="198" t="s">
        <v>1035</v>
      </c>
      <c r="D211" s="295">
        <v>612.60799999999995</v>
      </c>
    </row>
    <row r="212" spans="1:4" ht="27" x14ac:dyDescent="0.3">
      <c r="A212" s="223" t="s">
        <v>1229</v>
      </c>
      <c r="B212" s="199" t="s">
        <v>1230</v>
      </c>
      <c r="C212" s="198" t="s">
        <v>442</v>
      </c>
      <c r="D212" s="295">
        <v>5.5529999999999999</v>
      </c>
    </row>
    <row r="213" spans="1:4" x14ac:dyDescent="0.3">
      <c r="A213" s="224" t="s">
        <v>2112</v>
      </c>
      <c r="B213" s="199" t="s">
        <v>2113</v>
      </c>
      <c r="C213" s="207" t="s">
        <v>198</v>
      </c>
      <c r="D213" s="295">
        <v>8.0030000000000001</v>
      </c>
    </row>
    <row r="214" spans="1:4" x14ac:dyDescent="0.3">
      <c r="A214" s="223" t="s">
        <v>289</v>
      </c>
      <c r="B214" s="199" t="s">
        <v>290</v>
      </c>
      <c r="C214" s="198" t="s">
        <v>199</v>
      </c>
      <c r="D214" s="295">
        <v>4.367</v>
      </c>
    </row>
    <row r="215" spans="1:4" ht="27" x14ac:dyDescent="0.3">
      <c r="A215" s="223" t="s">
        <v>606</v>
      </c>
      <c r="B215" s="199" t="s">
        <v>607</v>
      </c>
      <c r="C215" s="198" t="s">
        <v>198</v>
      </c>
      <c r="D215" s="295">
        <v>215.86600000000001</v>
      </c>
    </row>
    <row r="216" spans="1:4" ht="27" x14ac:dyDescent="0.3">
      <c r="A216" s="223" t="s">
        <v>604</v>
      </c>
      <c r="B216" s="199" t="s">
        <v>605</v>
      </c>
      <c r="C216" s="198" t="s">
        <v>198</v>
      </c>
      <c r="D216" s="295">
        <v>24.387</v>
      </c>
    </row>
    <row r="217" spans="1:4" ht="27" x14ac:dyDescent="0.3">
      <c r="A217" s="223" t="s">
        <v>1231</v>
      </c>
      <c r="B217" s="199" t="s">
        <v>1232</v>
      </c>
      <c r="C217" s="198" t="s">
        <v>1233</v>
      </c>
      <c r="D217" s="295">
        <v>327.36799999999999</v>
      </c>
    </row>
    <row r="218" spans="1:4" x14ac:dyDescent="0.3">
      <c r="A218" s="223" t="s">
        <v>1391</v>
      </c>
      <c r="B218" s="199" t="s">
        <v>1392</v>
      </c>
      <c r="C218" s="198" t="s">
        <v>1042</v>
      </c>
      <c r="D218" s="295">
        <v>91.302999999999997</v>
      </c>
    </row>
    <row r="219" spans="1:4" x14ac:dyDescent="0.3">
      <c r="A219" s="223" t="s">
        <v>1399</v>
      </c>
      <c r="B219" s="199" t="s">
        <v>1400</v>
      </c>
      <c r="C219" s="198" t="s">
        <v>574</v>
      </c>
      <c r="D219" s="295">
        <v>227.869</v>
      </c>
    </row>
    <row r="220" spans="1:4" ht="27" x14ac:dyDescent="0.3">
      <c r="A220" s="223" t="s">
        <v>1366</v>
      </c>
      <c r="B220" s="199" t="s">
        <v>1367</v>
      </c>
      <c r="C220" s="198" t="s">
        <v>198</v>
      </c>
      <c r="D220" s="295">
        <v>4.923</v>
      </c>
    </row>
    <row r="221" spans="1:4" ht="27" x14ac:dyDescent="0.3">
      <c r="A221" s="223" t="s">
        <v>608</v>
      </c>
      <c r="B221" s="199" t="s">
        <v>609</v>
      </c>
      <c r="C221" s="198" t="s">
        <v>610</v>
      </c>
      <c r="D221" s="295">
        <v>0.33400000000000002</v>
      </c>
    </row>
    <row r="222" spans="1:4" ht="27" x14ac:dyDescent="0.3">
      <c r="A222" s="223" t="s">
        <v>615</v>
      </c>
      <c r="B222" s="199" t="s">
        <v>616</v>
      </c>
      <c r="C222" s="198" t="s">
        <v>209</v>
      </c>
      <c r="D222" s="295">
        <v>17.832000000000001</v>
      </c>
    </row>
    <row r="223" spans="1:4" x14ac:dyDescent="0.3">
      <c r="A223" s="223" t="s">
        <v>613</v>
      </c>
      <c r="B223" s="199" t="s">
        <v>614</v>
      </c>
      <c r="C223" s="198" t="s">
        <v>200</v>
      </c>
      <c r="D223" s="295">
        <v>0.85699999999999998</v>
      </c>
    </row>
    <row r="224" spans="1:4" x14ac:dyDescent="0.3">
      <c r="A224" s="223" t="s">
        <v>617</v>
      </c>
      <c r="B224" s="199" t="s">
        <v>618</v>
      </c>
      <c r="C224" s="198" t="s">
        <v>198</v>
      </c>
      <c r="D224" s="295">
        <v>22.858000000000001</v>
      </c>
    </row>
    <row r="225" spans="1:4" x14ac:dyDescent="0.3">
      <c r="A225" s="223">
        <v>90371</v>
      </c>
      <c r="B225" s="199" t="s">
        <v>203</v>
      </c>
      <c r="C225" s="198" t="s">
        <v>204</v>
      </c>
      <c r="D225" s="295">
        <v>109.467</v>
      </c>
    </row>
    <row r="226" spans="1:4" x14ac:dyDescent="0.3">
      <c r="A226" s="223">
        <v>90632</v>
      </c>
      <c r="B226" s="199" t="s">
        <v>212</v>
      </c>
      <c r="C226" s="198" t="s">
        <v>204</v>
      </c>
      <c r="D226" s="295">
        <v>52.716999999999999</v>
      </c>
    </row>
    <row r="227" spans="1:4" x14ac:dyDescent="0.3">
      <c r="A227" s="223" t="s">
        <v>596</v>
      </c>
      <c r="B227" s="199" t="s">
        <v>597</v>
      </c>
      <c r="C227" s="198" t="s">
        <v>216</v>
      </c>
      <c r="D227" s="295">
        <v>58.546999999999997</v>
      </c>
    </row>
    <row r="228" spans="1:4" ht="27" x14ac:dyDescent="0.3">
      <c r="A228" s="223">
        <v>90743</v>
      </c>
      <c r="B228" s="199" t="s">
        <v>2399</v>
      </c>
      <c r="C228" s="198" t="s">
        <v>237</v>
      </c>
      <c r="D228" s="295">
        <v>25.391599999999997</v>
      </c>
    </row>
    <row r="229" spans="1:4" ht="27" x14ac:dyDescent="0.3">
      <c r="A229" s="223">
        <v>90740</v>
      </c>
      <c r="B229" s="199" t="s">
        <v>234</v>
      </c>
      <c r="C229" s="198" t="s">
        <v>235</v>
      </c>
      <c r="D229" s="295">
        <v>122.95659999999999</v>
      </c>
    </row>
    <row r="230" spans="1:4" ht="27" x14ac:dyDescent="0.3">
      <c r="A230" s="223">
        <v>90744</v>
      </c>
      <c r="B230" s="199" t="s">
        <v>236</v>
      </c>
      <c r="C230" s="198" t="s">
        <v>237</v>
      </c>
      <c r="D230" s="295">
        <v>25.391599999999997</v>
      </c>
    </row>
    <row r="231" spans="1:4" ht="27" x14ac:dyDescent="0.3">
      <c r="A231" s="223">
        <v>90747</v>
      </c>
      <c r="B231" s="199" t="s">
        <v>240</v>
      </c>
      <c r="C231" s="198" t="s">
        <v>235</v>
      </c>
      <c r="D231" s="295">
        <v>122.95659999999999</v>
      </c>
    </row>
    <row r="232" spans="1:4" ht="27" x14ac:dyDescent="0.3">
      <c r="A232" s="223">
        <v>90746</v>
      </c>
      <c r="B232" s="199" t="s">
        <v>238</v>
      </c>
      <c r="C232" s="198" t="s">
        <v>239</v>
      </c>
      <c r="D232" s="295">
        <v>61.474499999999992</v>
      </c>
    </row>
    <row r="233" spans="1:4" x14ac:dyDescent="0.3">
      <c r="A233" s="223" t="s">
        <v>581</v>
      </c>
      <c r="B233" s="199" t="s">
        <v>582</v>
      </c>
      <c r="C233" s="198" t="s">
        <v>257</v>
      </c>
      <c r="D233" s="295">
        <v>9.8460000000000001</v>
      </c>
    </row>
    <row r="234" spans="1:4" ht="27" x14ac:dyDescent="0.3">
      <c r="A234" s="223" t="s">
        <v>1451</v>
      </c>
      <c r="B234" s="199" t="s">
        <v>1452</v>
      </c>
      <c r="C234" s="198" t="s">
        <v>204</v>
      </c>
      <c r="D234" s="295">
        <v>0.08</v>
      </c>
    </row>
    <row r="235" spans="1:4" ht="27" x14ac:dyDescent="0.3">
      <c r="A235" s="223" t="s">
        <v>1610</v>
      </c>
      <c r="B235" s="199" t="s">
        <v>1611</v>
      </c>
      <c r="C235" s="198" t="s">
        <v>204</v>
      </c>
      <c r="D235" s="295">
        <v>0.22800000000000001</v>
      </c>
    </row>
    <row r="236" spans="1:4" ht="27" x14ac:dyDescent="0.3">
      <c r="A236" s="223" t="s">
        <v>1612</v>
      </c>
      <c r="B236" s="199" t="s">
        <v>1613</v>
      </c>
      <c r="C236" s="198" t="s">
        <v>204</v>
      </c>
      <c r="D236" s="295">
        <v>0.24199999999999999</v>
      </c>
    </row>
    <row r="237" spans="1:4" ht="27" x14ac:dyDescent="0.3">
      <c r="A237" s="223" t="s">
        <v>1453</v>
      </c>
      <c r="B237" s="199" t="s">
        <v>1454</v>
      </c>
      <c r="C237" s="198" t="s">
        <v>204</v>
      </c>
      <c r="D237" s="295">
        <v>0.193</v>
      </c>
    </row>
    <row r="238" spans="1:4" x14ac:dyDescent="0.3">
      <c r="A238" s="223" t="s">
        <v>982</v>
      </c>
      <c r="B238" s="199" t="s">
        <v>983</v>
      </c>
      <c r="C238" s="198" t="s">
        <v>963</v>
      </c>
      <c r="D238" s="295">
        <v>1.0389999999999999</v>
      </c>
    </row>
    <row r="239" spans="1:4" ht="27" x14ac:dyDescent="0.3">
      <c r="A239" s="223" t="s">
        <v>1033</v>
      </c>
      <c r="B239" s="199" t="s">
        <v>2412</v>
      </c>
      <c r="C239" s="198" t="s">
        <v>1035</v>
      </c>
      <c r="D239" s="295">
        <v>86.138000000000005</v>
      </c>
    </row>
    <row r="240" spans="1:4" ht="27" x14ac:dyDescent="0.3">
      <c r="A240" s="223" t="s">
        <v>929</v>
      </c>
      <c r="B240" s="199" t="s">
        <v>930</v>
      </c>
      <c r="C240" s="198" t="s">
        <v>931</v>
      </c>
      <c r="D240" s="295">
        <v>0.35699999999999998</v>
      </c>
    </row>
    <row r="241" spans="1:4" ht="27" x14ac:dyDescent="0.3">
      <c r="A241" s="223" t="s">
        <v>309</v>
      </c>
      <c r="B241" s="199" t="s">
        <v>310</v>
      </c>
      <c r="C241" s="198" t="s">
        <v>311</v>
      </c>
      <c r="D241" s="295">
        <v>4.5679999999999996</v>
      </c>
    </row>
    <row r="242" spans="1:4" ht="27" x14ac:dyDescent="0.3">
      <c r="A242" s="223" t="s">
        <v>633</v>
      </c>
      <c r="B242" s="199" t="s">
        <v>634</v>
      </c>
      <c r="C242" s="198" t="s">
        <v>257</v>
      </c>
      <c r="D242" s="295">
        <v>9.1180000000000003</v>
      </c>
    </row>
    <row r="243" spans="1:4" ht="27" x14ac:dyDescent="0.3">
      <c r="A243" s="223" t="s">
        <v>511</v>
      </c>
      <c r="B243" s="199" t="s">
        <v>512</v>
      </c>
      <c r="C243" s="198" t="s">
        <v>513</v>
      </c>
      <c r="D243" s="295">
        <v>2.0990000000000002</v>
      </c>
    </row>
    <row r="244" spans="1:4" ht="27" x14ac:dyDescent="0.3">
      <c r="A244" s="223" t="s">
        <v>914</v>
      </c>
      <c r="B244" s="199" t="s">
        <v>915</v>
      </c>
      <c r="C244" s="198" t="s">
        <v>553</v>
      </c>
      <c r="D244" s="295">
        <v>2.024</v>
      </c>
    </row>
    <row r="245" spans="1:4" ht="27" x14ac:dyDescent="0.3">
      <c r="A245" s="223" t="s">
        <v>677</v>
      </c>
      <c r="B245" s="199" t="s">
        <v>678</v>
      </c>
      <c r="C245" s="198" t="s">
        <v>458</v>
      </c>
      <c r="D245" s="295">
        <v>27.66</v>
      </c>
    </row>
    <row r="246" spans="1:4" ht="27" x14ac:dyDescent="0.3">
      <c r="A246" s="224" t="s">
        <v>600</v>
      </c>
      <c r="B246" s="199" t="s">
        <v>601</v>
      </c>
      <c r="C246" s="207" t="s">
        <v>257</v>
      </c>
      <c r="D246" s="295">
        <v>12.968999999999999</v>
      </c>
    </row>
    <row r="247" spans="1:4" ht="27" x14ac:dyDescent="0.3">
      <c r="A247" s="223" t="s">
        <v>635</v>
      </c>
      <c r="B247" s="199" t="s">
        <v>636</v>
      </c>
      <c r="C247" s="198" t="s">
        <v>198</v>
      </c>
      <c r="D247" s="295">
        <v>96.516000000000005</v>
      </c>
    </row>
    <row r="248" spans="1:4" ht="27" x14ac:dyDescent="0.3">
      <c r="A248" s="223" t="s">
        <v>637</v>
      </c>
      <c r="B248" s="199" t="s">
        <v>638</v>
      </c>
      <c r="C248" s="198" t="s">
        <v>198</v>
      </c>
      <c r="D248" s="295">
        <v>182.88900000000001</v>
      </c>
    </row>
    <row r="249" spans="1:4" x14ac:dyDescent="0.3">
      <c r="A249" s="223" t="s">
        <v>1244</v>
      </c>
      <c r="B249" s="199" t="s">
        <v>1245</v>
      </c>
      <c r="C249" s="198" t="s">
        <v>200</v>
      </c>
      <c r="D249" s="295">
        <v>34.371000000000002</v>
      </c>
    </row>
    <row r="250" spans="1:4" x14ac:dyDescent="0.3">
      <c r="A250" s="223" t="s">
        <v>639</v>
      </c>
      <c r="B250" s="199" t="s">
        <v>640</v>
      </c>
      <c r="C250" s="198" t="s">
        <v>198</v>
      </c>
      <c r="D250" s="295">
        <v>522.03499999999997</v>
      </c>
    </row>
    <row r="251" spans="1:4" x14ac:dyDescent="0.3">
      <c r="A251" s="223" t="s">
        <v>1240</v>
      </c>
      <c r="B251" s="199" t="s">
        <v>1241</v>
      </c>
      <c r="C251" s="198" t="s">
        <v>405</v>
      </c>
      <c r="D251" s="295">
        <v>28.327000000000002</v>
      </c>
    </row>
    <row r="252" spans="1:4" x14ac:dyDescent="0.3">
      <c r="A252" s="223">
        <v>90653</v>
      </c>
      <c r="B252" s="199" t="s">
        <v>213</v>
      </c>
      <c r="C252" s="198" t="s">
        <v>214</v>
      </c>
      <c r="D252" s="295">
        <v>37.3825</v>
      </c>
    </row>
    <row r="253" spans="1:4" ht="27" x14ac:dyDescent="0.3">
      <c r="A253" s="223">
        <v>90662</v>
      </c>
      <c r="B253" s="199" t="s">
        <v>217</v>
      </c>
      <c r="C253" s="198" t="s">
        <v>216</v>
      </c>
      <c r="D253" s="295">
        <v>42.722449999999995</v>
      </c>
    </row>
    <row r="254" spans="1:4" ht="27" x14ac:dyDescent="0.3">
      <c r="A254" s="223">
        <v>90656</v>
      </c>
      <c r="B254" s="199" t="s">
        <v>215</v>
      </c>
      <c r="C254" s="198" t="s">
        <v>216</v>
      </c>
      <c r="D254" s="295">
        <v>17.716550000000002</v>
      </c>
    </row>
    <row r="255" spans="1:4" ht="27" x14ac:dyDescent="0.3">
      <c r="A255" s="224">
        <v>90685</v>
      </c>
      <c r="B255" s="199" t="s">
        <v>222</v>
      </c>
      <c r="C255" s="207" t="s">
        <v>223</v>
      </c>
      <c r="D255" s="295">
        <v>26.267499999999998</v>
      </c>
    </row>
    <row r="256" spans="1:4" ht="27" x14ac:dyDescent="0.3">
      <c r="A256" s="224">
        <v>90686</v>
      </c>
      <c r="B256" s="199" t="s">
        <v>224</v>
      </c>
      <c r="C256" s="207" t="s">
        <v>214</v>
      </c>
      <c r="D256" s="295">
        <v>19.032299999999999</v>
      </c>
    </row>
    <row r="257" spans="1:4" ht="27" x14ac:dyDescent="0.3">
      <c r="A257" s="223">
        <v>90687</v>
      </c>
      <c r="B257" s="199" t="s">
        <v>225</v>
      </c>
      <c r="C257" s="198" t="s">
        <v>226</v>
      </c>
      <c r="D257" s="295">
        <v>9.4030999999999985</v>
      </c>
    </row>
    <row r="258" spans="1:4" ht="27" x14ac:dyDescent="0.3">
      <c r="A258" s="224">
        <v>90688</v>
      </c>
      <c r="B258" s="199" t="s">
        <v>227</v>
      </c>
      <c r="C258" s="207" t="s">
        <v>216</v>
      </c>
      <c r="D258" s="295">
        <v>17.8353</v>
      </c>
    </row>
    <row r="259" spans="1:4" ht="27" x14ac:dyDescent="0.3">
      <c r="A259" s="223" t="s">
        <v>1380</v>
      </c>
      <c r="B259" s="199" t="s">
        <v>1381</v>
      </c>
      <c r="C259" s="206" t="s">
        <v>1382</v>
      </c>
      <c r="D259" s="295">
        <v>123.932</v>
      </c>
    </row>
    <row r="260" spans="1:4" ht="27" x14ac:dyDescent="0.3">
      <c r="A260" s="223" t="s">
        <v>588</v>
      </c>
      <c r="B260" s="199" t="s">
        <v>589</v>
      </c>
      <c r="C260" s="198" t="s">
        <v>284</v>
      </c>
      <c r="D260" s="295">
        <v>31.696000000000002</v>
      </c>
    </row>
    <row r="261" spans="1:4" x14ac:dyDescent="0.3">
      <c r="A261" s="223" t="s">
        <v>647</v>
      </c>
      <c r="B261" s="199" t="s">
        <v>648</v>
      </c>
      <c r="C261" s="198" t="s">
        <v>371</v>
      </c>
      <c r="D261" s="295">
        <v>41.826999999999998</v>
      </c>
    </row>
    <row r="262" spans="1:4" ht="27" x14ac:dyDescent="0.3">
      <c r="A262" s="224" t="s">
        <v>708</v>
      </c>
      <c r="B262" s="199" t="s">
        <v>2403</v>
      </c>
      <c r="C262" s="207" t="s">
        <v>199</v>
      </c>
      <c r="D262" s="295">
        <v>9.7769999999999992</v>
      </c>
    </row>
    <row r="263" spans="1:4" x14ac:dyDescent="0.3">
      <c r="A263" s="223" t="s">
        <v>361</v>
      </c>
      <c r="B263" s="199" t="s">
        <v>362</v>
      </c>
      <c r="C263" s="206" t="s">
        <v>354</v>
      </c>
      <c r="D263" s="295">
        <v>4.8959999999999999</v>
      </c>
    </row>
    <row r="264" spans="1:4" ht="27" x14ac:dyDescent="0.3">
      <c r="A264" s="223" t="s">
        <v>641</v>
      </c>
      <c r="B264" s="199" t="s">
        <v>642</v>
      </c>
      <c r="C264" s="198" t="s">
        <v>199</v>
      </c>
      <c r="D264" s="295">
        <v>82.218000000000004</v>
      </c>
    </row>
    <row r="265" spans="1:4" ht="27" x14ac:dyDescent="0.3">
      <c r="A265" s="223" t="s">
        <v>312</v>
      </c>
      <c r="B265" s="199" t="s">
        <v>313</v>
      </c>
      <c r="C265" s="198" t="s">
        <v>198</v>
      </c>
      <c r="D265" s="295">
        <v>4.5919999999999996</v>
      </c>
    </row>
    <row r="266" spans="1:4" ht="27" x14ac:dyDescent="0.3">
      <c r="A266" s="223" t="s">
        <v>334</v>
      </c>
      <c r="B266" s="199" t="s">
        <v>335</v>
      </c>
      <c r="C266" s="198" t="s">
        <v>198</v>
      </c>
      <c r="D266" s="295">
        <v>25.776</v>
      </c>
    </row>
    <row r="267" spans="1:4" ht="27" x14ac:dyDescent="0.3">
      <c r="A267" s="223" t="s">
        <v>1378</v>
      </c>
      <c r="B267" s="199" t="s">
        <v>1379</v>
      </c>
      <c r="C267" s="198" t="s">
        <v>452</v>
      </c>
      <c r="D267" s="295">
        <v>46.341000000000001</v>
      </c>
    </row>
    <row r="268" spans="1:4" ht="27" x14ac:dyDescent="0.3">
      <c r="A268" s="223" t="s">
        <v>385</v>
      </c>
      <c r="B268" s="199" t="s">
        <v>386</v>
      </c>
      <c r="C268" s="198" t="s">
        <v>387</v>
      </c>
      <c r="D268" s="295">
        <v>0.45600000000000007</v>
      </c>
    </row>
    <row r="269" spans="1:4" ht="27" x14ac:dyDescent="0.3">
      <c r="A269" s="223" t="s">
        <v>421</v>
      </c>
      <c r="B269" s="199" t="s">
        <v>422</v>
      </c>
      <c r="C269" s="198" t="s">
        <v>284</v>
      </c>
      <c r="D269" s="295">
        <v>2.2370000000000001</v>
      </c>
    </row>
    <row r="270" spans="1:4" x14ac:dyDescent="0.3">
      <c r="A270" s="223" t="s">
        <v>1194</v>
      </c>
      <c r="B270" s="199" t="s">
        <v>1195</v>
      </c>
      <c r="C270" s="198" t="s">
        <v>198</v>
      </c>
      <c r="D270" s="295">
        <v>23.198</v>
      </c>
    </row>
    <row r="271" spans="1:4" ht="27" x14ac:dyDescent="0.3">
      <c r="A271" s="223" t="s">
        <v>784</v>
      </c>
      <c r="B271" s="199" t="s">
        <v>785</v>
      </c>
      <c r="C271" s="198" t="s">
        <v>452</v>
      </c>
      <c r="D271" s="295">
        <v>13.356999999999999</v>
      </c>
    </row>
    <row r="272" spans="1:4" ht="27" x14ac:dyDescent="0.3">
      <c r="A272" s="223" t="s">
        <v>501</v>
      </c>
      <c r="B272" s="199" t="s">
        <v>502</v>
      </c>
      <c r="C272" s="198" t="s">
        <v>198</v>
      </c>
      <c r="D272" s="295">
        <v>135.577</v>
      </c>
    </row>
    <row r="273" spans="1:4" ht="27" x14ac:dyDescent="0.3">
      <c r="A273" s="223" t="s">
        <v>529</v>
      </c>
      <c r="B273" s="199" t="s">
        <v>530</v>
      </c>
      <c r="C273" s="198" t="s">
        <v>295</v>
      </c>
      <c r="D273" s="295">
        <v>5.4690000000000003</v>
      </c>
    </row>
    <row r="274" spans="1:4" x14ac:dyDescent="0.3">
      <c r="A274" s="223" t="s">
        <v>626</v>
      </c>
      <c r="B274" s="199" t="s">
        <v>627</v>
      </c>
      <c r="C274" s="198" t="s">
        <v>199</v>
      </c>
      <c r="D274" s="295">
        <v>0.80100000000000005</v>
      </c>
    </row>
    <row r="275" spans="1:4" ht="27" x14ac:dyDescent="0.3">
      <c r="A275" s="223" t="s">
        <v>551</v>
      </c>
      <c r="B275" s="199" t="s">
        <v>552</v>
      </c>
      <c r="C275" s="198" t="s">
        <v>553</v>
      </c>
      <c r="D275" s="295">
        <v>278.52699999999999</v>
      </c>
    </row>
    <row r="276" spans="1:4" ht="27" x14ac:dyDescent="0.3">
      <c r="A276" s="223" t="s">
        <v>556</v>
      </c>
      <c r="B276" s="199" t="s">
        <v>557</v>
      </c>
      <c r="C276" s="198" t="s">
        <v>198</v>
      </c>
      <c r="D276" s="295">
        <v>1.05</v>
      </c>
    </row>
    <row r="277" spans="1:4" ht="27" x14ac:dyDescent="0.3">
      <c r="A277" s="223" t="s">
        <v>558</v>
      </c>
      <c r="B277" s="199" t="s">
        <v>559</v>
      </c>
      <c r="C277" s="198" t="s">
        <v>452</v>
      </c>
      <c r="D277" s="295">
        <v>1.0009999999999999</v>
      </c>
    </row>
    <row r="278" spans="1:4" ht="27" x14ac:dyDescent="0.3">
      <c r="A278" s="223" t="s">
        <v>1429</v>
      </c>
      <c r="B278" s="199" t="s">
        <v>2425</v>
      </c>
      <c r="C278" s="205" t="s">
        <v>452</v>
      </c>
      <c r="D278" s="295">
        <v>0.78300000000000003</v>
      </c>
    </row>
    <row r="279" spans="1:4" ht="27" x14ac:dyDescent="0.3">
      <c r="A279" s="223" t="s">
        <v>1549</v>
      </c>
      <c r="B279" s="199" t="s">
        <v>1550</v>
      </c>
      <c r="C279" s="198" t="s">
        <v>1810</v>
      </c>
      <c r="D279" s="295">
        <v>0.20399999999999999</v>
      </c>
    </row>
    <row r="280" spans="1:4" ht="27" x14ac:dyDescent="0.3">
      <c r="A280" s="223" t="s">
        <v>619</v>
      </c>
      <c r="B280" s="199" t="s">
        <v>620</v>
      </c>
      <c r="C280" s="198" t="s">
        <v>371</v>
      </c>
      <c r="D280" s="295">
        <v>0.17499999999999999</v>
      </c>
    </row>
    <row r="281" spans="1:4" ht="27" x14ac:dyDescent="0.3">
      <c r="A281" s="223" t="s">
        <v>621</v>
      </c>
      <c r="B281" s="199" t="s">
        <v>622</v>
      </c>
      <c r="C281" s="198" t="s">
        <v>432</v>
      </c>
      <c r="D281" s="295">
        <v>0.22</v>
      </c>
    </row>
    <row r="282" spans="1:4" ht="27" x14ac:dyDescent="0.3">
      <c r="A282" s="223" t="s">
        <v>1234</v>
      </c>
      <c r="B282" s="199" t="s">
        <v>1235</v>
      </c>
      <c r="C282" s="198" t="s">
        <v>198</v>
      </c>
      <c r="D282" s="295">
        <v>39.512999999999998</v>
      </c>
    </row>
    <row r="283" spans="1:4" x14ac:dyDescent="0.3">
      <c r="A283" s="223" t="s">
        <v>643</v>
      </c>
      <c r="B283" s="199" t="s">
        <v>644</v>
      </c>
      <c r="C283" s="198" t="s">
        <v>209</v>
      </c>
      <c r="D283" s="295">
        <v>12.456</v>
      </c>
    </row>
    <row r="284" spans="1:4" x14ac:dyDescent="0.3">
      <c r="A284" s="223" t="s">
        <v>570</v>
      </c>
      <c r="B284" s="199" t="s">
        <v>571</v>
      </c>
      <c r="C284" s="198" t="s">
        <v>284</v>
      </c>
      <c r="D284" s="295">
        <v>38.673999999999999</v>
      </c>
    </row>
    <row r="285" spans="1:4" ht="27" x14ac:dyDescent="0.3">
      <c r="A285" s="223" t="s">
        <v>673</v>
      </c>
      <c r="B285" s="199" t="s">
        <v>674</v>
      </c>
      <c r="C285" s="198" t="s">
        <v>405</v>
      </c>
      <c r="D285" s="295">
        <v>20.895</v>
      </c>
    </row>
    <row r="286" spans="1:4" x14ac:dyDescent="0.3">
      <c r="A286" s="223" t="s">
        <v>932</v>
      </c>
      <c r="B286" s="199" t="s">
        <v>933</v>
      </c>
      <c r="C286" s="198" t="s">
        <v>284</v>
      </c>
      <c r="D286" s="295">
        <v>0.47699999999999998</v>
      </c>
    </row>
    <row r="287" spans="1:4" ht="27" x14ac:dyDescent="0.3">
      <c r="A287" s="223" t="s">
        <v>1260</v>
      </c>
      <c r="B287" s="199" t="s">
        <v>1261</v>
      </c>
      <c r="C287" s="198" t="s">
        <v>209</v>
      </c>
      <c r="D287" s="295">
        <v>2017.0350000000001</v>
      </c>
    </row>
    <row r="288" spans="1:4" ht="27" x14ac:dyDescent="0.3">
      <c r="A288" s="223" t="s">
        <v>397</v>
      </c>
      <c r="B288" s="199" t="s">
        <v>398</v>
      </c>
      <c r="C288" s="198" t="s">
        <v>381</v>
      </c>
      <c r="D288" s="295">
        <v>2.7360000000000002</v>
      </c>
    </row>
    <row r="289" spans="1:4" ht="27" x14ac:dyDescent="0.3">
      <c r="A289" s="223" t="s">
        <v>702</v>
      </c>
      <c r="B289" s="199" t="s">
        <v>703</v>
      </c>
      <c r="C289" s="198" t="s">
        <v>198</v>
      </c>
      <c r="D289" s="295">
        <v>0.11899999999999999</v>
      </c>
    </row>
    <row r="290" spans="1:4" x14ac:dyDescent="0.3">
      <c r="A290" s="223" t="s">
        <v>244</v>
      </c>
      <c r="B290" s="199" t="s">
        <v>245</v>
      </c>
      <c r="C290" s="198" t="s">
        <v>204</v>
      </c>
      <c r="D290" s="295">
        <v>2.0739999999999998</v>
      </c>
    </row>
    <row r="291" spans="1:4" ht="27" x14ac:dyDescent="0.3">
      <c r="A291" s="223" t="s">
        <v>246</v>
      </c>
      <c r="B291" s="199" t="s">
        <v>247</v>
      </c>
      <c r="C291" s="198" t="s">
        <v>204</v>
      </c>
      <c r="D291" s="295">
        <v>2.0259999999999998</v>
      </c>
    </row>
    <row r="292" spans="1:4" ht="27" x14ac:dyDescent="0.3">
      <c r="A292" s="223" t="s">
        <v>714</v>
      </c>
      <c r="B292" s="199" t="s">
        <v>715</v>
      </c>
      <c r="C292" s="198" t="s">
        <v>199</v>
      </c>
      <c r="D292" s="295">
        <v>2.4049999999999998</v>
      </c>
    </row>
    <row r="293" spans="1:4" ht="27" x14ac:dyDescent="0.3">
      <c r="A293" s="223" t="s">
        <v>716</v>
      </c>
      <c r="B293" s="199" t="s">
        <v>717</v>
      </c>
      <c r="C293" s="198" t="s">
        <v>198</v>
      </c>
      <c r="D293" s="295">
        <v>29.207000000000001</v>
      </c>
    </row>
    <row r="294" spans="1:4" ht="27" x14ac:dyDescent="0.3">
      <c r="A294" s="223" t="s">
        <v>1447</v>
      </c>
      <c r="B294" s="199" t="s">
        <v>1448</v>
      </c>
      <c r="C294" s="198" t="s">
        <v>204</v>
      </c>
      <c r="D294" s="295">
        <v>34.415999999999997</v>
      </c>
    </row>
    <row r="295" spans="1:4" x14ac:dyDescent="0.3">
      <c r="A295" s="224" t="s">
        <v>1279</v>
      </c>
      <c r="B295" s="199" t="s">
        <v>1280</v>
      </c>
      <c r="C295" s="207" t="s">
        <v>198</v>
      </c>
      <c r="D295" s="295">
        <v>46.540999999999997</v>
      </c>
    </row>
    <row r="296" spans="1:4" ht="27" x14ac:dyDescent="0.3">
      <c r="A296" s="223" t="s">
        <v>1449</v>
      </c>
      <c r="B296" s="199" t="s">
        <v>1450</v>
      </c>
      <c r="C296" s="198" t="s">
        <v>204</v>
      </c>
      <c r="D296" s="295">
        <v>51.625</v>
      </c>
    </row>
    <row r="297" spans="1:4" x14ac:dyDescent="0.3">
      <c r="A297" s="223" t="s">
        <v>934</v>
      </c>
      <c r="B297" s="199" t="s">
        <v>935</v>
      </c>
      <c r="C297" s="198" t="s">
        <v>936</v>
      </c>
      <c r="D297" s="295">
        <v>0.13900000000000001</v>
      </c>
    </row>
    <row r="298" spans="1:4" ht="27" x14ac:dyDescent="0.3">
      <c r="A298" s="223" t="s">
        <v>786</v>
      </c>
      <c r="B298" s="199" t="s">
        <v>787</v>
      </c>
      <c r="C298" s="198" t="s">
        <v>209</v>
      </c>
      <c r="D298" s="295">
        <v>1.3640000000000001</v>
      </c>
    </row>
    <row r="299" spans="1:4" x14ac:dyDescent="0.3">
      <c r="A299" s="223" t="s">
        <v>242</v>
      </c>
      <c r="B299" s="199" t="s">
        <v>243</v>
      </c>
      <c r="C299" s="198" t="s">
        <v>204</v>
      </c>
      <c r="D299" s="295">
        <v>1.6259999999999999</v>
      </c>
    </row>
    <row r="300" spans="1:4" ht="27" x14ac:dyDescent="0.3">
      <c r="A300" s="223" t="s">
        <v>796</v>
      </c>
      <c r="B300" s="199" t="s">
        <v>797</v>
      </c>
      <c r="C300" s="198" t="s">
        <v>199</v>
      </c>
      <c r="D300" s="295">
        <v>1.083</v>
      </c>
    </row>
    <row r="301" spans="1:4" ht="27" x14ac:dyDescent="0.3">
      <c r="A301" s="223" t="s">
        <v>2408</v>
      </c>
      <c r="B301" s="199" t="s">
        <v>2409</v>
      </c>
      <c r="C301" s="198" t="s">
        <v>452</v>
      </c>
      <c r="D301" s="295">
        <v>34.78125</v>
      </c>
    </row>
    <row r="302" spans="1:4" ht="27" x14ac:dyDescent="0.3">
      <c r="A302" s="224" t="s">
        <v>1445</v>
      </c>
      <c r="B302" s="199" t="s">
        <v>1446</v>
      </c>
      <c r="C302" s="207" t="s">
        <v>204</v>
      </c>
      <c r="D302" s="295">
        <v>21.657</v>
      </c>
    </row>
    <row r="303" spans="1:4" ht="27" x14ac:dyDescent="0.3">
      <c r="A303" s="223" t="s">
        <v>1314</v>
      </c>
      <c r="B303" s="199" t="s">
        <v>1315</v>
      </c>
      <c r="C303" s="198" t="s">
        <v>1316</v>
      </c>
      <c r="D303" s="295">
        <v>46.131</v>
      </c>
    </row>
    <row r="304" spans="1:4" ht="27" x14ac:dyDescent="0.3">
      <c r="A304" s="223" t="s">
        <v>560</v>
      </c>
      <c r="B304" s="199" t="s">
        <v>561</v>
      </c>
      <c r="C304" s="198" t="s">
        <v>452</v>
      </c>
      <c r="D304" s="295">
        <v>0.70599999999999996</v>
      </c>
    </row>
    <row r="305" spans="1:4" x14ac:dyDescent="0.3">
      <c r="A305" s="224" t="s">
        <v>863</v>
      </c>
      <c r="B305" s="199" t="s">
        <v>864</v>
      </c>
      <c r="C305" s="207" t="s">
        <v>198</v>
      </c>
      <c r="D305" s="295">
        <v>1.274</v>
      </c>
    </row>
    <row r="306" spans="1:4" ht="27" x14ac:dyDescent="0.3">
      <c r="A306" s="223" t="s">
        <v>871</v>
      </c>
      <c r="B306" s="199" t="s">
        <v>872</v>
      </c>
      <c r="C306" s="198" t="s">
        <v>198</v>
      </c>
      <c r="D306" s="295">
        <v>0.04</v>
      </c>
    </row>
    <row r="307" spans="1:4" ht="27" x14ac:dyDescent="0.3">
      <c r="A307" s="223" t="s">
        <v>497</v>
      </c>
      <c r="B307" s="199" t="s">
        <v>498</v>
      </c>
      <c r="C307" s="198" t="s">
        <v>198</v>
      </c>
      <c r="D307" s="295">
        <v>2.3E-2</v>
      </c>
    </row>
    <row r="308" spans="1:4" ht="27" x14ac:dyDescent="0.3">
      <c r="A308" s="223" t="s">
        <v>840</v>
      </c>
      <c r="B308" s="199" t="s">
        <v>841</v>
      </c>
      <c r="C308" s="198" t="s">
        <v>491</v>
      </c>
      <c r="D308" s="295">
        <v>0.30299999999999999</v>
      </c>
    </row>
    <row r="309" spans="1:4" ht="27" x14ac:dyDescent="0.3">
      <c r="A309" s="224" t="s">
        <v>1327</v>
      </c>
      <c r="B309" s="199" t="s">
        <v>1328</v>
      </c>
      <c r="C309" s="207" t="s">
        <v>198</v>
      </c>
      <c r="D309" s="295">
        <v>29.561</v>
      </c>
    </row>
    <row r="310" spans="1:4" x14ac:dyDescent="0.3">
      <c r="A310" s="223" t="s">
        <v>195</v>
      </c>
      <c r="B310" s="199" t="s">
        <v>1218</v>
      </c>
      <c r="C310" s="198" t="s">
        <v>688</v>
      </c>
      <c r="D310" s="295">
        <v>1.2960000000000003</v>
      </c>
    </row>
    <row r="311" spans="1:4" ht="27" x14ac:dyDescent="0.3">
      <c r="A311" s="224" t="s">
        <v>577</v>
      </c>
      <c r="B311" s="199" t="s">
        <v>578</v>
      </c>
      <c r="C311" s="207" t="s">
        <v>284</v>
      </c>
      <c r="D311" s="295">
        <v>37.143999999999998</v>
      </c>
    </row>
    <row r="312" spans="1:4" ht="27" x14ac:dyDescent="0.3">
      <c r="A312" s="223" t="s">
        <v>712</v>
      </c>
      <c r="B312" s="199" t="s">
        <v>713</v>
      </c>
      <c r="C312" s="198" t="s">
        <v>257</v>
      </c>
      <c r="D312" s="295">
        <v>8.4329999999999998</v>
      </c>
    </row>
    <row r="313" spans="1:4" ht="27" x14ac:dyDescent="0.3">
      <c r="A313" s="224" t="s">
        <v>1030</v>
      </c>
      <c r="B313" s="199" t="s">
        <v>1031</v>
      </c>
      <c r="C313" s="207" t="s">
        <v>1032</v>
      </c>
      <c r="D313" s="295">
        <v>1046.75</v>
      </c>
    </row>
    <row r="314" spans="1:4" x14ac:dyDescent="0.3">
      <c r="A314" s="223" t="s">
        <v>794</v>
      </c>
      <c r="B314" s="199" t="s">
        <v>795</v>
      </c>
      <c r="C314" s="198" t="s">
        <v>199</v>
      </c>
      <c r="D314" s="295">
        <v>0.11899999999999999</v>
      </c>
    </row>
    <row r="315" spans="1:4" x14ac:dyDescent="0.3">
      <c r="A315" s="223" t="s">
        <v>358</v>
      </c>
      <c r="B315" s="199" t="s">
        <v>359</v>
      </c>
      <c r="C315" s="198" t="s">
        <v>360</v>
      </c>
      <c r="D315" s="295">
        <v>11.688000000000001</v>
      </c>
    </row>
    <row r="316" spans="1:4" ht="27" x14ac:dyDescent="0.3">
      <c r="A316" s="224" t="s">
        <v>859</v>
      </c>
      <c r="B316" s="199" t="s">
        <v>2411</v>
      </c>
      <c r="C316" s="207" t="s">
        <v>371</v>
      </c>
      <c r="D316" s="295">
        <v>40.421999999999997</v>
      </c>
    </row>
    <row r="317" spans="1:4" ht="27" x14ac:dyDescent="0.3">
      <c r="A317" s="223" t="s">
        <v>1339</v>
      </c>
      <c r="B317" s="199" t="s">
        <v>1340</v>
      </c>
      <c r="C317" s="198" t="s">
        <v>198</v>
      </c>
      <c r="D317" s="295">
        <v>2502.7550000000001</v>
      </c>
    </row>
    <row r="318" spans="1:4" x14ac:dyDescent="0.3">
      <c r="A318" s="224" t="s">
        <v>1345</v>
      </c>
      <c r="B318" s="199" t="s">
        <v>1346</v>
      </c>
      <c r="C318" s="207" t="s">
        <v>198</v>
      </c>
      <c r="D318" s="295">
        <v>8.173</v>
      </c>
    </row>
    <row r="319" spans="1:4" x14ac:dyDescent="0.3">
      <c r="A319" s="223" t="s">
        <v>1165</v>
      </c>
      <c r="B319" s="199" t="s">
        <v>1166</v>
      </c>
      <c r="C319" s="198" t="s">
        <v>198</v>
      </c>
      <c r="D319" s="295">
        <v>23.687999999999999</v>
      </c>
    </row>
    <row r="320" spans="1:4" ht="27" x14ac:dyDescent="0.3">
      <c r="A320" s="223" t="s">
        <v>2426</v>
      </c>
      <c r="B320" s="199" t="s">
        <v>2427</v>
      </c>
      <c r="C320" s="198" t="s">
        <v>199</v>
      </c>
      <c r="D320" s="295">
        <v>100.306</v>
      </c>
    </row>
    <row r="321" spans="1:4" x14ac:dyDescent="0.3">
      <c r="A321" s="223" t="s">
        <v>1163</v>
      </c>
      <c r="B321" s="199" t="s">
        <v>1164</v>
      </c>
      <c r="C321" s="198" t="s">
        <v>198</v>
      </c>
      <c r="D321" s="295">
        <v>27.981999999999999</v>
      </c>
    </row>
    <row r="322" spans="1:4" ht="27" x14ac:dyDescent="0.3">
      <c r="A322" s="223" t="s">
        <v>1325</v>
      </c>
      <c r="B322" s="199" t="s">
        <v>1326</v>
      </c>
      <c r="C322" s="198" t="s">
        <v>273</v>
      </c>
      <c r="D322" s="295">
        <v>283.33800000000002</v>
      </c>
    </row>
    <row r="323" spans="1:4" x14ac:dyDescent="0.3">
      <c r="A323" s="224" t="s">
        <v>280</v>
      </c>
      <c r="B323" s="199" t="s">
        <v>281</v>
      </c>
      <c r="C323" s="207" t="s">
        <v>198</v>
      </c>
      <c r="D323" s="295">
        <v>1750.7139999999999</v>
      </c>
    </row>
    <row r="324" spans="1:4" ht="27" x14ac:dyDescent="0.3">
      <c r="A324" s="224" t="s">
        <v>1161</v>
      </c>
      <c r="B324" s="199" t="s">
        <v>1162</v>
      </c>
      <c r="C324" s="207" t="s">
        <v>199</v>
      </c>
      <c r="D324" s="295">
        <v>34.527000000000001</v>
      </c>
    </row>
    <row r="325" spans="1:4" ht="27" x14ac:dyDescent="0.3">
      <c r="A325" s="224" t="s">
        <v>1186</v>
      </c>
      <c r="B325" s="199" t="s">
        <v>1187</v>
      </c>
      <c r="C325" s="207" t="s">
        <v>198</v>
      </c>
      <c r="D325" s="295">
        <v>31.812000000000001</v>
      </c>
    </row>
    <row r="326" spans="1:4" x14ac:dyDescent="0.3">
      <c r="A326" s="224" t="s">
        <v>465</v>
      </c>
      <c r="B326" s="199" t="s">
        <v>466</v>
      </c>
      <c r="C326" s="207" t="s">
        <v>200</v>
      </c>
      <c r="D326" s="295">
        <v>14.89</v>
      </c>
    </row>
    <row r="327" spans="1:4" ht="27" x14ac:dyDescent="0.3">
      <c r="A327" s="223" t="s">
        <v>1204</v>
      </c>
      <c r="B327" s="199" t="s">
        <v>1205</v>
      </c>
      <c r="C327" s="198" t="s">
        <v>199</v>
      </c>
      <c r="D327" s="295">
        <v>46.921999999999997</v>
      </c>
    </row>
    <row r="328" spans="1:4" ht="27" x14ac:dyDescent="0.3">
      <c r="A328" s="223" t="s">
        <v>533</v>
      </c>
      <c r="B328" s="199" t="s">
        <v>534</v>
      </c>
      <c r="C328" s="198" t="s">
        <v>452</v>
      </c>
      <c r="D328" s="295">
        <v>0.73199999999999998</v>
      </c>
    </row>
    <row r="329" spans="1:4" ht="27" x14ac:dyDescent="0.3">
      <c r="A329" s="223" t="s">
        <v>1216</v>
      </c>
      <c r="B329" s="199" t="s">
        <v>1217</v>
      </c>
      <c r="C329" s="198" t="s">
        <v>198</v>
      </c>
      <c r="D329" s="295">
        <v>6.2249999999999996</v>
      </c>
    </row>
    <row r="330" spans="1:4" x14ac:dyDescent="0.3">
      <c r="A330" s="223" t="s">
        <v>1343</v>
      </c>
      <c r="B330" s="199" t="s">
        <v>1344</v>
      </c>
      <c r="C330" s="198" t="s">
        <v>553</v>
      </c>
      <c r="D330" s="295">
        <v>95.739000000000004</v>
      </c>
    </row>
    <row r="331" spans="1:4" ht="27" x14ac:dyDescent="0.3">
      <c r="A331" s="223" t="s">
        <v>1287</v>
      </c>
      <c r="B331" s="199" t="s">
        <v>1288</v>
      </c>
      <c r="C331" s="207" t="s">
        <v>198</v>
      </c>
      <c r="D331" s="295">
        <v>5.2549999999999999</v>
      </c>
    </row>
    <row r="332" spans="1:4" x14ac:dyDescent="0.3">
      <c r="A332" s="224" t="s">
        <v>1289</v>
      </c>
      <c r="B332" s="199" t="s">
        <v>1290</v>
      </c>
      <c r="C332" s="207" t="s">
        <v>198</v>
      </c>
      <c r="D332" s="295">
        <v>26.047000000000001</v>
      </c>
    </row>
    <row r="333" spans="1:4" x14ac:dyDescent="0.3">
      <c r="A333" s="224" t="s">
        <v>741</v>
      </c>
      <c r="B333" s="199" t="s">
        <v>742</v>
      </c>
      <c r="C333" s="207" t="s">
        <v>199</v>
      </c>
      <c r="D333" s="295">
        <v>24.657</v>
      </c>
    </row>
    <row r="334" spans="1:4" ht="27" x14ac:dyDescent="0.3">
      <c r="A334" s="223" t="s">
        <v>760</v>
      </c>
      <c r="B334" s="199" t="s">
        <v>761</v>
      </c>
      <c r="C334" s="198" t="s">
        <v>762</v>
      </c>
      <c r="D334" s="295">
        <v>4117.2330000000002</v>
      </c>
    </row>
    <row r="335" spans="1:4" ht="27" x14ac:dyDescent="0.3">
      <c r="A335" s="224" t="s">
        <v>1299</v>
      </c>
      <c r="B335" s="199" t="s">
        <v>1300</v>
      </c>
      <c r="C335" s="207" t="s">
        <v>198</v>
      </c>
      <c r="D335" s="295">
        <v>10.904</v>
      </c>
    </row>
    <row r="336" spans="1:4" x14ac:dyDescent="0.3">
      <c r="A336" s="224" t="s">
        <v>1303</v>
      </c>
      <c r="B336" s="199" t="s">
        <v>1304</v>
      </c>
      <c r="C336" s="207" t="s">
        <v>200</v>
      </c>
      <c r="D336" s="295">
        <v>56.384999999999998</v>
      </c>
    </row>
    <row r="337" spans="1:4" x14ac:dyDescent="0.3">
      <c r="A337" s="224" t="s">
        <v>908</v>
      </c>
      <c r="B337" s="199" t="s">
        <v>909</v>
      </c>
      <c r="C337" s="207" t="s">
        <v>198</v>
      </c>
      <c r="D337" s="295">
        <v>17.579000000000001</v>
      </c>
    </row>
    <row r="338" spans="1:4" x14ac:dyDescent="0.3">
      <c r="A338" s="223" t="s">
        <v>925</v>
      </c>
      <c r="B338" s="199" t="s">
        <v>926</v>
      </c>
      <c r="C338" s="198" t="s">
        <v>199</v>
      </c>
      <c r="D338" s="295">
        <v>3.6030000000000002</v>
      </c>
    </row>
    <row r="339" spans="1:4" ht="27" x14ac:dyDescent="0.3">
      <c r="A339" s="223" t="s">
        <v>352</v>
      </c>
      <c r="B339" s="199" t="s">
        <v>353</v>
      </c>
      <c r="C339" s="198" t="s">
        <v>354</v>
      </c>
      <c r="D339" s="295">
        <v>5.9420000000000002</v>
      </c>
    </row>
    <row r="340" spans="1:4" ht="27" x14ac:dyDescent="0.3">
      <c r="A340" s="223" t="s">
        <v>654</v>
      </c>
      <c r="B340" s="199" t="s">
        <v>655</v>
      </c>
      <c r="C340" s="198" t="s">
        <v>656</v>
      </c>
      <c r="D340" s="295">
        <v>9.8320000000000007</v>
      </c>
    </row>
    <row r="341" spans="1:4" x14ac:dyDescent="0.3">
      <c r="A341" s="223" t="s">
        <v>651</v>
      </c>
      <c r="B341" s="199" t="s">
        <v>652</v>
      </c>
      <c r="C341" s="198" t="s">
        <v>653</v>
      </c>
      <c r="D341" s="295">
        <v>0.871</v>
      </c>
    </row>
    <row r="342" spans="1:4" x14ac:dyDescent="0.3">
      <c r="A342" s="223" t="s">
        <v>1246</v>
      </c>
      <c r="B342" s="199" t="s">
        <v>1247</v>
      </c>
      <c r="C342" s="198" t="s">
        <v>1248</v>
      </c>
      <c r="D342" s="295">
        <v>26.728000000000002</v>
      </c>
    </row>
    <row r="343" spans="1:4" x14ac:dyDescent="0.3">
      <c r="A343" s="223" t="s">
        <v>1258</v>
      </c>
      <c r="B343" s="199" t="s">
        <v>1259</v>
      </c>
      <c r="C343" s="198" t="s">
        <v>198</v>
      </c>
      <c r="D343" s="295">
        <v>142.59299999999999</v>
      </c>
    </row>
    <row r="344" spans="1:4" ht="27" x14ac:dyDescent="0.3">
      <c r="A344" s="223" t="s">
        <v>1107</v>
      </c>
      <c r="B344" s="199" t="s">
        <v>1108</v>
      </c>
      <c r="C344" s="198" t="s">
        <v>198</v>
      </c>
      <c r="D344" s="295">
        <v>0.224</v>
      </c>
    </row>
    <row r="345" spans="1:4" x14ac:dyDescent="0.3">
      <c r="A345" s="223" t="s">
        <v>1236</v>
      </c>
      <c r="B345" s="199" t="s">
        <v>1237</v>
      </c>
      <c r="C345" s="198" t="s">
        <v>311</v>
      </c>
      <c r="D345" s="295">
        <v>3.5489999999999999</v>
      </c>
    </row>
    <row r="346" spans="1:4" x14ac:dyDescent="0.3">
      <c r="A346" s="223" t="s">
        <v>645</v>
      </c>
      <c r="B346" s="199" t="s">
        <v>646</v>
      </c>
      <c r="C346" s="198" t="s">
        <v>198</v>
      </c>
      <c r="D346" s="295">
        <v>0.253</v>
      </c>
    </row>
    <row r="347" spans="1:4" x14ac:dyDescent="0.3">
      <c r="A347" s="223" t="s">
        <v>1238</v>
      </c>
      <c r="B347" s="199" t="s">
        <v>1239</v>
      </c>
      <c r="C347" s="198" t="s">
        <v>198</v>
      </c>
      <c r="D347" s="295">
        <v>76.323999999999998</v>
      </c>
    </row>
    <row r="348" spans="1:4" ht="27" x14ac:dyDescent="0.3">
      <c r="A348" s="223" t="s">
        <v>657</v>
      </c>
      <c r="B348" s="199" t="s">
        <v>658</v>
      </c>
      <c r="C348" s="198" t="s">
        <v>659</v>
      </c>
      <c r="D348" s="295">
        <v>0.81</v>
      </c>
    </row>
    <row r="349" spans="1:4" ht="27" x14ac:dyDescent="0.3">
      <c r="A349" s="224">
        <v>90672</v>
      </c>
      <c r="B349" s="199" t="s">
        <v>1547</v>
      </c>
      <c r="C349" s="207" t="s">
        <v>2397</v>
      </c>
      <c r="D349" s="295">
        <v>26.875499999999999</v>
      </c>
    </row>
    <row r="350" spans="1:4" x14ac:dyDescent="0.3">
      <c r="A350" s="223" t="s">
        <v>660</v>
      </c>
      <c r="B350" s="199" t="s">
        <v>661</v>
      </c>
      <c r="C350" s="198" t="s">
        <v>198</v>
      </c>
      <c r="D350" s="295">
        <v>52.226999999999997</v>
      </c>
    </row>
    <row r="351" spans="1:4" x14ac:dyDescent="0.3">
      <c r="A351" s="223" t="s">
        <v>662</v>
      </c>
      <c r="B351" s="199" t="s">
        <v>663</v>
      </c>
      <c r="C351" s="198" t="s">
        <v>273</v>
      </c>
      <c r="D351" s="295">
        <v>30.605</v>
      </c>
    </row>
    <row r="352" spans="1:4" ht="27" x14ac:dyDescent="0.3">
      <c r="A352" s="223" t="s">
        <v>392</v>
      </c>
      <c r="B352" s="199" t="s">
        <v>393</v>
      </c>
      <c r="C352" s="198" t="s">
        <v>209</v>
      </c>
      <c r="D352" s="295">
        <v>3.0920000000000001</v>
      </c>
    </row>
    <row r="353" spans="1:4" ht="27" x14ac:dyDescent="0.3">
      <c r="A353" s="223" t="s">
        <v>668</v>
      </c>
      <c r="B353" s="199" t="s">
        <v>669</v>
      </c>
      <c r="C353" s="198" t="s">
        <v>670</v>
      </c>
      <c r="D353" s="295">
        <v>1031.5619999999999</v>
      </c>
    </row>
    <row r="354" spans="1:4" ht="27" x14ac:dyDescent="0.3">
      <c r="A354" s="223" t="s">
        <v>1252</v>
      </c>
      <c r="B354" s="199" t="s">
        <v>1253</v>
      </c>
      <c r="C354" s="198" t="s">
        <v>198</v>
      </c>
      <c r="D354" s="295">
        <v>22.475000000000001</v>
      </c>
    </row>
    <row r="355" spans="1:4" ht="27" x14ac:dyDescent="0.3">
      <c r="A355" s="223" t="s">
        <v>1249</v>
      </c>
      <c r="B355" s="199" t="s">
        <v>1250</v>
      </c>
      <c r="C355" s="198" t="s">
        <v>1251</v>
      </c>
      <c r="D355" s="295">
        <v>220.97499999999999</v>
      </c>
    </row>
    <row r="356" spans="1:4" ht="27" x14ac:dyDescent="0.3">
      <c r="A356" s="223" t="s">
        <v>1092</v>
      </c>
      <c r="B356" s="199" t="s">
        <v>1093</v>
      </c>
      <c r="C356" s="198" t="s">
        <v>396</v>
      </c>
      <c r="D356" s="295">
        <v>0.18</v>
      </c>
    </row>
    <row r="357" spans="1:4" ht="27" x14ac:dyDescent="0.3">
      <c r="A357" s="223" t="s">
        <v>1096</v>
      </c>
      <c r="B357" s="199" t="s">
        <v>1097</v>
      </c>
      <c r="C357" s="198" t="s">
        <v>396</v>
      </c>
      <c r="D357" s="295">
        <v>7.2999999999999995E-2</v>
      </c>
    </row>
    <row r="358" spans="1:4" x14ac:dyDescent="0.3">
      <c r="A358" s="223" t="s">
        <v>671</v>
      </c>
      <c r="B358" s="199" t="s">
        <v>672</v>
      </c>
      <c r="C358" s="198" t="s">
        <v>199</v>
      </c>
      <c r="D358" s="295">
        <v>0.16500000000000001</v>
      </c>
    </row>
    <row r="359" spans="1:4" x14ac:dyDescent="0.3">
      <c r="A359" s="223" t="s">
        <v>675</v>
      </c>
      <c r="B359" s="199" t="s">
        <v>676</v>
      </c>
      <c r="C359" s="198" t="s">
        <v>295</v>
      </c>
      <c r="D359" s="295">
        <v>1.607</v>
      </c>
    </row>
    <row r="360" spans="1:4" ht="27" x14ac:dyDescent="0.3">
      <c r="A360" s="223" t="s">
        <v>394</v>
      </c>
      <c r="B360" s="199" t="s">
        <v>395</v>
      </c>
      <c r="C360" s="198" t="s">
        <v>396</v>
      </c>
      <c r="D360" s="295">
        <v>0.68799999999999994</v>
      </c>
    </row>
    <row r="361" spans="1:4" x14ac:dyDescent="0.3">
      <c r="A361" s="223" t="s">
        <v>679</v>
      </c>
      <c r="B361" s="199" t="s">
        <v>680</v>
      </c>
      <c r="C361" s="198" t="s">
        <v>199</v>
      </c>
      <c r="D361" s="295">
        <v>1.7999999999999999E-2</v>
      </c>
    </row>
    <row r="362" spans="1:4" x14ac:dyDescent="0.3">
      <c r="A362" s="223" t="s">
        <v>681</v>
      </c>
      <c r="B362" s="199" t="s">
        <v>682</v>
      </c>
      <c r="C362" s="198" t="s">
        <v>683</v>
      </c>
      <c r="D362" s="295">
        <v>12.214</v>
      </c>
    </row>
    <row r="363" spans="1:4" x14ac:dyDescent="0.3">
      <c r="A363" s="223" t="s">
        <v>684</v>
      </c>
      <c r="B363" s="199" t="s">
        <v>685</v>
      </c>
      <c r="C363" s="198" t="s">
        <v>442</v>
      </c>
      <c r="D363" s="295">
        <v>15.874000000000001</v>
      </c>
    </row>
    <row r="364" spans="1:4" ht="27" x14ac:dyDescent="0.3">
      <c r="A364" s="223" t="s">
        <v>1455</v>
      </c>
      <c r="B364" s="199" t="s">
        <v>1456</v>
      </c>
      <c r="C364" s="198" t="s">
        <v>204</v>
      </c>
      <c r="D364" s="295">
        <v>0.77</v>
      </c>
    </row>
    <row r="365" spans="1:4" ht="27" x14ac:dyDescent="0.3">
      <c r="A365" s="223" t="s">
        <v>1457</v>
      </c>
      <c r="B365" s="199" t="s">
        <v>1458</v>
      </c>
      <c r="C365" s="198" t="s">
        <v>204</v>
      </c>
      <c r="D365" s="295">
        <v>0.16300000000000001</v>
      </c>
    </row>
    <row r="366" spans="1:4" ht="27" x14ac:dyDescent="0.3">
      <c r="A366" s="223" t="s">
        <v>1459</v>
      </c>
      <c r="B366" s="199" t="s">
        <v>1460</v>
      </c>
      <c r="C366" s="198" t="s">
        <v>204</v>
      </c>
      <c r="D366" s="295">
        <v>0.122</v>
      </c>
    </row>
    <row r="367" spans="1:4" x14ac:dyDescent="0.3">
      <c r="A367" s="223" t="s">
        <v>686</v>
      </c>
      <c r="B367" s="199" t="s">
        <v>687</v>
      </c>
      <c r="C367" s="198" t="s">
        <v>688</v>
      </c>
      <c r="D367" s="295">
        <v>0.72399999999999998</v>
      </c>
    </row>
    <row r="368" spans="1:4" x14ac:dyDescent="0.3">
      <c r="A368" s="223" t="s">
        <v>285</v>
      </c>
      <c r="B368" s="199" t="s">
        <v>286</v>
      </c>
      <c r="C368" s="198" t="s">
        <v>199</v>
      </c>
      <c r="D368" s="295">
        <v>159.732</v>
      </c>
    </row>
    <row r="369" spans="1:4" ht="27" x14ac:dyDescent="0.3">
      <c r="A369" s="223" t="s">
        <v>1054</v>
      </c>
      <c r="B369" s="199" t="s">
        <v>1055</v>
      </c>
      <c r="C369" s="198" t="s">
        <v>295</v>
      </c>
      <c r="D369" s="295">
        <v>1479.3389999999999</v>
      </c>
    </row>
    <row r="370" spans="1:4" x14ac:dyDescent="0.3">
      <c r="A370" s="223" t="s">
        <v>689</v>
      </c>
      <c r="B370" s="199" t="s">
        <v>690</v>
      </c>
      <c r="C370" s="198" t="s">
        <v>522</v>
      </c>
      <c r="D370" s="295">
        <v>2.0169999999999999</v>
      </c>
    </row>
    <row r="371" spans="1:4" x14ac:dyDescent="0.3">
      <c r="A371" s="223" t="s">
        <v>1545</v>
      </c>
      <c r="B371" s="199" t="s">
        <v>1818</v>
      </c>
      <c r="C371" s="198" t="s">
        <v>199</v>
      </c>
      <c r="D371" s="295">
        <v>265.88799999999998</v>
      </c>
    </row>
    <row r="372" spans="1:4" ht="27" x14ac:dyDescent="0.3">
      <c r="A372" s="223" t="s">
        <v>495</v>
      </c>
      <c r="B372" s="199" t="s">
        <v>496</v>
      </c>
      <c r="C372" s="198" t="s">
        <v>198</v>
      </c>
      <c r="D372" s="295">
        <v>0.44</v>
      </c>
    </row>
    <row r="373" spans="1:4" x14ac:dyDescent="0.3">
      <c r="A373" s="223" t="s">
        <v>1130</v>
      </c>
      <c r="B373" s="199" t="s">
        <v>1131</v>
      </c>
      <c r="C373" s="198" t="s">
        <v>688</v>
      </c>
      <c r="D373" s="295">
        <v>11.71</v>
      </c>
    </row>
    <row r="374" spans="1:4" ht="27" x14ac:dyDescent="0.3">
      <c r="A374" s="223" t="s">
        <v>691</v>
      </c>
      <c r="B374" s="199" t="s">
        <v>692</v>
      </c>
      <c r="C374" s="198" t="s">
        <v>257</v>
      </c>
      <c r="D374" s="295">
        <v>4.9160000000000004</v>
      </c>
    </row>
    <row r="375" spans="1:4" x14ac:dyDescent="0.3">
      <c r="A375" s="223" t="s">
        <v>695</v>
      </c>
      <c r="B375" s="199" t="s">
        <v>696</v>
      </c>
      <c r="C375" s="198" t="s">
        <v>257</v>
      </c>
      <c r="D375" s="295">
        <v>1.341</v>
      </c>
    </row>
    <row r="376" spans="1:4" x14ac:dyDescent="0.3">
      <c r="A376" s="223" t="s">
        <v>1242</v>
      </c>
      <c r="B376" s="199" t="s">
        <v>1243</v>
      </c>
      <c r="C376" s="198" t="s">
        <v>442</v>
      </c>
      <c r="D376" s="295">
        <v>1.9850000000000001</v>
      </c>
    </row>
    <row r="377" spans="1:4" ht="27" x14ac:dyDescent="0.3">
      <c r="A377" s="223" t="s">
        <v>1109</v>
      </c>
      <c r="B377" s="199" t="s">
        <v>1110</v>
      </c>
      <c r="C377" s="198" t="s">
        <v>198</v>
      </c>
      <c r="D377" s="295">
        <v>0.51800000000000002</v>
      </c>
    </row>
    <row r="378" spans="1:4" x14ac:dyDescent="0.3">
      <c r="A378" s="223" t="s">
        <v>523</v>
      </c>
      <c r="B378" s="199" t="s">
        <v>524</v>
      </c>
      <c r="C378" s="198" t="s">
        <v>199</v>
      </c>
      <c r="D378" s="295">
        <v>18.913</v>
      </c>
    </row>
    <row r="379" spans="1:4" ht="27" x14ac:dyDescent="0.3">
      <c r="A379" s="223" t="s">
        <v>835</v>
      </c>
      <c r="B379" s="199" t="s">
        <v>836</v>
      </c>
      <c r="C379" s="198" t="s">
        <v>381</v>
      </c>
      <c r="D379" s="295">
        <v>39.194000000000003</v>
      </c>
    </row>
    <row r="380" spans="1:4" ht="27" x14ac:dyDescent="0.3">
      <c r="A380" s="223" t="s">
        <v>1132</v>
      </c>
      <c r="B380" s="199" t="s">
        <v>1133</v>
      </c>
      <c r="C380" s="198" t="s">
        <v>1134</v>
      </c>
      <c r="D380" s="295">
        <v>0.56200000000000006</v>
      </c>
    </row>
    <row r="381" spans="1:4" x14ac:dyDescent="0.3">
      <c r="A381" s="223" t="s">
        <v>193</v>
      </c>
      <c r="B381" s="199" t="s">
        <v>1262</v>
      </c>
      <c r="C381" s="198" t="s">
        <v>200</v>
      </c>
      <c r="D381" s="295">
        <v>0.23599999999999999</v>
      </c>
    </row>
    <row r="382" spans="1:4" x14ac:dyDescent="0.3">
      <c r="A382" s="223" t="s">
        <v>1263</v>
      </c>
      <c r="B382" s="199" t="s">
        <v>1262</v>
      </c>
      <c r="C382" s="198" t="s">
        <v>209</v>
      </c>
      <c r="D382" s="295">
        <v>2.3580000000000001</v>
      </c>
    </row>
    <row r="383" spans="1:4" ht="27" x14ac:dyDescent="0.3">
      <c r="A383" s="223" t="s">
        <v>697</v>
      </c>
      <c r="B383" s="199" t="s">
        <v>698</v>
      </c>
      <c r="C383" s="198" t="s">
        <v>699</v>
      </c>
      <c r="D383" s="295">
        <v>7.585</v>
      </c>
    </row>
    <row r="384" spans="1:4" ht="27" x14ac:dyDescent="0.3">
      <c r="A384" s="223" t="s">
        <v>487</v>
      </c>
      <c r="B384" s="199" t="s">
        <v>488</v>
      </c>
      <c r="C384" s="198" t="s">
        <v>311</v>
      </c>
      <c r="D384" s="295">
        <v>4.9870000000000001</v>
      </c>
    </row>
    <row r="385" spans="1:4" ht="27" x14ac:dyDescent="0.3">
      <c r="A385" s="223" t="s">
        <v>489</v>
      </c>
      <c r="B385" s="199" t="s">
        <v>490</v>
      </c>
      <c r="C385" s="198" t="s">
        <v>491</v>
      </c>
      <c r="D385" s="295">
        <v>5.4720000000000004</v>
      </c>
    </row>
    <row r="386" spans="1:4" ht="27" x14ac:dyDescent="0.3">
      <c r="A386" s="223" t="s">
        <v>492</v>
      </c>
      <c r="B386" s="199" t="s">
        <v>493</v>
      </c>
      <c r="C386" s="198" t="s">
        <v>494</v>
      </c>
      <c r="D386" s="295">
        <v>10.268000000000001</v>
      </c>
    </row>
    <row r="387" spans="1:4" ht="27" x14ac:dyDescent="0.3">
      <c r="A387" s="223" t="s">
        <v>849</v>
      </c>
      <c r="B387" s="199" t="s">
        <v>850</v>
      </c>
      <c r="C387" s="198" t="s">
        <v>491</v>
      </c>
      <c r="D387" s="295">
        <v>4.0019999999999998</v>
      </c>
    </row>
    <row r="388" spans="1:4" ht="27" x14ac:dyDescent="0.3">
      <c r="A388" s="223" t="s">
        <v>851</v>
      </c>
      <c r="B388" s="199" t="s">
        <v>850</v>
      </c>
      <c r="C388" s="198" t="s">
        <v>852</v>
      </c>
      <c r="D388" s="295">
        <v>5.4980000000000002</v>
      </c>
    </row>
    <row r="389" spans="1:4" ht="27" x14ac:dyDescent="0.3">
      <c r="A389" s="223" t="s">
        <v>1060</v>
      </c>
      <c r="B389" s="199" t="s">
        <v>1061</v>
      </c>
      <c r="C389" s="198" t="s">
        <v>513</v>
      </c>
      <c r="D389" s="295">
        <v>0.34599999999999997</v>
      </c>
    </row>
    <row r="390" spans="1:4" ht="27" x14ac:dyDescent="0.3">
      <c r="A390" s="223" t="s">
        <v>802</v>
      </c>
      <c r="B390" s="199" t="s">
        <v>803</v>
      </c>
      <c r="C390" s="198" t="s">
        <v>199</v>
      </c>
      <c r="D390" s="295">
        <v>0.84799999999999998</v>
      </c>
    </row>
    <row r="391" spans="1:4" ht="27" x14ac:dyDescent="0.3">
      <c r="A391" s="223" t="s">
        <v>700</v>
      </c>
      <c r="B391" s="199" t="s">
        <v>701</v>
      </c>
      <c r="C391" s="198" t="s">
        <v>198</v>
      </c>
      <c r="D391" s="295">
        <v>0.96799999999999997</v>
      </c>
    </row>
    <row r="392" spans="1:4" x14ac:dyDescent="0.3">
      <c r="A392" s="223" t="s">
        <v>1281</v>
      </c>
      <c r="B392" s="199" t="s">
        <v>1282</v>
      </c>
      <c r="C392" s="198" t="s">
        <v>200</v>
      </c>
      <c r="D392" s="295">
        <v>104.81399999999999</v>
      </c>
    </row>
    <row r="393" spans="1:4" ht="27" x14ac:dyDescent="0.3">
      <c r="A393" s="223" t="s">
        <v>1285</v>
      </c>
      <c r="B393" s="199" t="s">
        <v>1286</v>
      </c>
      <c r="C393" s="198" t="s">
        <v>200</v>
      </c>
      <c r="D393" s="295">
        <v>39.536000000000001</v>
      </c>
    </row>
    <row r="394" spans="1:4" x14ac:dyDescent="0.3">
      <c r="A394" s="223" t="s">
        <v>1590</v>
      </c>
      <c r="B394" s="199" t="s">
        <v>1591</v>
      </c>
      <c r="C394" s="198" t="s">
        <v>1813</v>
      </c>
      <c r="D394" s="295">
        <v>906.471</v>
      </c>
    </row>
    <row r="395" spans="1:4" ht="27" x14ac:dyDescent="0.3">
      <c r="A395" s="223" t="s">
        <v>706</v>
      </c>
      <c r="B395" s="199" t="s">
        <v>707</v>
      </c>
      <c r="C395" s="198" t="s">
        <v>199</v>
      </c>
      <c r="D395" s="295">
        <v>1.8440000000000001</v>
      </c>
    </row>
    <row r="396" spans="1:4" ht="27" x14ac:dyDescent="0.3">
      <c r="A396" s="223" t="s">
        <v>1072</v>
      </c>
      <c r="B396" s="199" t="s">
        <v>1073</v>
      </c>
      <c r="C396" s="198" t="s">
        <v>295</v>
      </c>
      <c r="D396" s="295">
        <v>1.0740000000000001</v>
      </c>
    </row>
    <row r="397" spans="1:4" x14ac:dyDescent="0.3">
      <c r="A397" s="223" t="s">
        <v>1074</v>
      </c>
      <c r="B397" s="199" t="s">
        <v>1075</v>
      </c>
      <c r="C397" s="198" t="s">
        <v>1076</v>
      </c>
      <c r="D397" s="295">
        <v>2.782</v>
      </c>
    </row>
    <row r="398" spans="1:4" ht="27" x14ac:dyDescent="0.3">
      <c r="A398" s="223" t="s">
        <v>846</v>
      </c>
      <c r="B398" s="199" t="s">
        <v>847</v>
      </c>
      <c r="C398" s="198" t="s">
        <v>848</v>
      </c>
      <c r="D398" s="295">
        <v>2.2749999999999999</v>
      </c>
    </row>
    <row r="399" spans="1:4" x14ac:dyDescent="0.3">
      <c r="A399" s="223" t="s">
        <v>718</v>
      </c>
      <c r="B399" s="199" t="s">
        <v>719</v>
      </c>
      <c r="C399" s="198" t="s">
        <v>198</v>
      </c>
      <c r="D399" s="295">
        <v>3.2509999999999999</v>
      </c>
    </row>
    <row r="400" spans="1:4" x14ac:dyDescent="0.3">
      <c r="A400" s="223" t="s">
        <v>720</v>
      </c>
      <c r="B400" s="199" t="s">
        <v>721</v>
      </c>
      <c r="C400" s="198" t="s">
        <v>198</v>
      </c>
      <c r="D400" s="295">
        <v>18.776</v>
      </c>
    </row>
    <row r="401" spans="1:4" x14ac:dyDescent="0.3">
      <c r="A401" s="223" t="s">
        <v>1264</v>
      </c>
      <c r="B401" s="199" t="s">
        <v>1265</v>
      </c>
      <c r="C401" s="198" t="s">
        <v>209</v>
      </c>
      <c r="D401" s="295">
        <v>151.90600000000001</v>
      </c>
    </row>
    <row r="402" spans="1:4" ht="27" x14ac:dyDescent="0.3">
      <c r="A402" s="224" t="s">
        <v>1135</v>
      </c>
      <c r="B402" s="199" t="s">
        <v>2413</v>
      </c>
      <c r="C402" s="207" t="s">
        <v>396</v>
      </c>
      <c r="D402" s="295">
        <v>444.99200000000002</v>
      </c>
    </row>
    <row r="403" spans="1:4" ht="27" x14ac:dyDescent="0.3">
      <c r="A403" s="223" t="s">
        <v>943</v>
      </c>
      <c r="B403" s="199" t="s">
        <v>944</v>
      </c>
      <c r="C403" s="198" t="s">
        <v>945</v>
      </c>
      <c r="D403" s="295">
        <v>1.8560000000000001</v>
      </c>
    </row>
    <row r="404" spans="1:4" ht="27" x14ac:dyDescent="0.3">
      <c r="A404" s="223" t="s">
        <v>946</v>
      </c>
      <c r="B404" s="199" t="s">
        <v>944</v>
      </c>
      <c r="C404" s="198" t="s">
        <v>947</v>
      </c>
      <c r="D404" s="295">
        <v>0.92900000000000005</v>
      </c>
    </row>
    <row r="405" spans="1:4" ht="27" x14ac:dyDescent="0.3">
      <c r="A405" s="223" t="s">
        <v>950</v>
      </c>
      <c r="B405" s="199" t="s">
        <v>944</v>
      </c>
      <c r="C405" s="198" t="s">
        <v>951</v>
      </c>
      <c r="D405" s="295">
        <v>0.46300000000000002</v>
      </c>
    </row>
    <row r="406" spans="1:4" x14ac:dyDescent="0.3">
      <c r="A406" s="223" t="s">
        <v>1387</v>
      </c>
      <c r="B406" s="199" t="s">
        <v>1388</v>
      </c>
      <c r="C406" s="198" t="s">
        <v>1042</v>
      </c>
      <c r="D406" s="295">
        <v>11.019</v>
      </c>
    </row>
    <row r="407" spans="1:4" x14ac:dyDescent="0.3">
      <c r="A407" s="223" t="s">
        <v>1291</v>
      </c>
      <c r="B407" s="199" t="s">
        <v>1292</v>
      </c>
      <c r="C407" s="198" t="s">
        <v>199</v>
      </c>
      <c r="D407" s="295">
        <v>57.424999999999997</v>
      </c>
    </row>
    <row r="408" spans="1:4" x14ac:dyDescent="0.3">
      <c r="A408" s="223" t="s">
        <v>590</v>
      </c>
      <c r="B408" s="199" t="s">
        <v>591</v>
      </c>
      <c r="C408" s="198" t="s">
        <v>284</v>
      </c>
      <c r="D408" s="295">
        <v>35.398000000000003</v>
      </c>
    </row>
    <row r="409" spans="1:4" ht="27" x14ac:dyDescent="0.3">
      <c r="A409" s="223" t="s">
        <v>726</v>
      </c>
      <c r="B409" s="199" t="s">
        <v>727</v>
      </c>
      <c r="C409" s="198" t="s">
        <v>728</v>
      </c>
      <c r="D409" s="295">
        <v>1.169</v>
      </c>
    </row>
    <row r="410" spans="1:4" ht="27" x14ac:dyDescent="0.3">
      <c r="A410" s="223" t="s">
        <v>724</v>
      </c>
      <c r="B410" s="199" t="s">
        <v>725</v>
      </c>
      <c r="C410" s="198" t="s">
        <v>198</v>
      </c>
      <c r="D410" s="295">
        <v>174.52199999999999</v>
      </c>
    </row>
    <row r="411" spans="1:4" x14ac:dyDescent="0.3">
      <c r="A411" s="223" t="s">
        <v>1293</v>
      </c>
      <c r="B411" s="199" t="s">
        <v>1294</v>
      </c>
      <c r="C411" s="198" t="s">
        <v>199</v>
      </c>
      <c r="D411" s="295">
        <v>53.259</v>
      </c>
    </row>
    <row r="412" spans="1:4" ht="27" x14ac:dyDescent="0.3">
      <c r="A412" s="223" t="s">
        <v>731</v>
      </c>
      <c r="B412" s="199" t="s">
        <v>732</v>
      </c>
      <c r="C412" s="198" t="s">
        <v>198</v>
      </c>
      <c r="D412" s="295">
        <v>2.9180000000000001</v>
      </c>
    </row>
    <row r="413" spans="1:4" x14ac:dyDescent="0.3">
      <c r="A413" s="223" t="s">
        <v>729</v>
      </c>
      <c r="B413" s="199" t="s">
        <v>730</v>
      </c>
      <c r="C413" s="198" t="s">
        <v>200</v>
      </c>
      <c r="D413" s="295">
        <v>32.360999999999997</v>
      </c>
    </row>
    <row r="414" spans="1:4" ht="27" x14ac:dyDescent="0.3">
      <c r="A414" s="223" t="s">
        <v>739</v>
      </c>
      <c r="B414" s="199" t="s">
        <v>740</v>
      </c>
      <c r="C414" s="198" t="s">
        <v>198</v>
      </c>
      <c r="D414" s="295">
        <v>8.5000000000000006E-2</v>
      </c>
    </row>
    <row r="415" spans="1:4" x14ac:dyDescent="0.3">
      <c r="A415" s="223" t="s">
        <v>1360</v>
      </c>
      <c r="B415" s="199" t="s">
        <v>1361</v>
      </c>
      <c r="C415" s="198" t="s">
        <v>198</v>
      </c>
      <c r="D415" s="295">
        <v>3.7999999999999999E-2</v>
      </c>
    </row>
    <row r="416" spans="1:4" x14ac:dyDescent="0.3">
      <c r="A416" s="223" t="s">
        <v>2404</v>
      </c>
      <c r="B416" s="199" t="s">
        <v>2405</v>
      </c>
      <c r="C416" s="198" t="s">
        <v>200</v>
      </c>
      <c r="D416" s="295">
        <v>467.21620000000001</v>
      </c>
    </row>
    <row r="417" spans="1:4" x14ac:dyDescent="0.3">
      <c r="A417" s="223" t="s">
        <v>1116</v>
      </c>
      <c r="B417" s="199" t="s">
        <v>1117</v>
      </c>
      <c r="C417" s="198" t="s">
        <v>200</v>
      </c>
      <c r="D417" s="295">
        <v>12.27</v>
      </c>
    </row>
    <row r="418" spans="1:4" x14ac:dyDescent="0.3">
      <c r="A418" s="223" t="s">
        <v>1118</v>
      </c>
      <c r="B418" s="199" t="s">
        <v>1119</v>
      </c>
      <c r="C418" s="198" t="s">
        <v>688</v>
      </c>
      <c r="D418" s="295">
        <v>23.719000000000001</v>
      </c>
    </row>
    <row r="419" spans="1:4" x14ac:dyDescent="0.3">
      <c r="A419" s="223" t="s">
        <v>1126</v>
      </c>
      <c r="B419" s="199" t="s">
        <v>1127</v>
      </c>
      <c r="C419" s="198" t="s">
        <v>458</v>
      </c>
      <c r="D419" s="295">
        <v>1.4999999999999999E-2</v>
      </c>
    </row>
    <row r="420" spans="1:4" x14ac:dyDescent="0.3">
      <c r="A420" s="223" t="s">
        <v>1081</v>
      </c>
      <c r="B420" s="199" t="s">
        <v>1082</v>
      </c>
      <c r="C420" s="198" t="s">
        <v>458</v>
      </c>
      <c r="D420" s="295">
        <v>7.8860000000000001</v>
      </c>
    </row>
    <row r="421" spans="1:4" x14ac:dyDescent="0.3">
      <c r="A421" s="223" t="s">
        <v>733</v>
      </c>
      <c r="B421" s="199" t="s">
        <v>734</v>
      </c>
      <c r="C421" s="198" t="s">
        <v>735</v>
      </c>
      <c r="D421" s="295">
        <v>3.5030000000000001</v>
      </c>
    </row>
    <row r="422" spans="1:4" x14ac:dyDescent="0.3">
      <c r="A422" s="223" t="s">
        <v>1587</v>
      </c>
      <c r="B422" s="199" t="s">
        <v>1588</v>
      </c>
      <c r="C422" s="198" t="s">
        <v>1035</v>
      </c>
      <c r="D422" s="295">
        <v>150.98500000000001</v>
      </c>
    </row>
    <row r="423" spans="1:4" ht="27" x14ac:dyDescent="0.3">
      <c r="A423" s="224" t="s">
        <v>927</v>
      </c>
      <c r="B423" s="199" t="s">
        <v>928</v>
      </c>
      <c r="C423" s="207" t="s">
        <v>354</v>
      </c>
      <c r="D423" s="295">
        <v>0.35399999999999998</v>
      </c>
    </row>
    <row r="424" spans="1:4" ht="27" x14ac:dyDescent="0.3">
      <c r="A424" s="223" t="s">
        <v>792</v>
      </c>
      <c r="B424" s="199" t="s">
        <v>793</v>
      </c>
      <c r="C424" s="198" t="s">
        <v>295</v>
      </c>
      <c r="D424" s="295">
        <v>1.7749999999999999</v>
      </c>
    </row>
    <row r="425" spans="1:4" x14ac:dyDescent="0.3">
      <c r="A425" s="223" t="s">
        <v>1268</v>
      </c>
      <c r="B425" s="199" t="s">
        <v>1269</v>
      </c>
      <c r="C425" s="198" t="s">
        <v>396</v>
      </c>
      <c r="D425" s="295">
        <v>0.32</v>
      </c>
    </row>
    <row r="426" spans="1:4" ht="27" x14ac:dyDescent="0.3">
      <c r="A426" s="223" t="s">
        <v>2406</v>
      </c>
      <c r="B426" s="199" t="s">
        <v>2407</v>
      </c>
      <c r="C426" s="198" t="s">
        <v>198</v>
      </c>
      <c r="D426" s="295">
        <v>2.9049999999999998</v>
      </c>
    </row>
    <row r="427" spans="1:4" x14ac:dyDescent="0.3">
      <c r="A427" s="223" t="s">
        <v>1275</v>
      </c>
      <c r="B427" s="199" t="s">
        <v>1276</v>
      </c>
      <c r="C427" s="198" t="s">
        <v>198</v>
      </c>
      <c r="D427" s="295">
        <v>0.182</v>
      </c>
    </row>
    <row r="428" spans="1:4" ht="27" x14ac:dyDescent="0.3">
      <c r="A428" s="223" t="s">
        <v>1270</v>
      </c>
      <c r="B428" s="199" t="s">
        <v>1271</v>
      </c>
      <c r="C428" s="198" t="s">
        <v>198</v>
      </c>
      <c r="D428" s="295">
        <v>10.352</v>
      </c>
    </row>
    <row r="429" spans="1:4" x14ac:dyDescent="0.3">
      <c r="A429" s="223" t="s">
        <v>743</v>
      </c>
      <c r="B429" s="199" t="s">
        <v>744</v>
      </c>
      <c r="C429" s="198" t="s">
        <v>325</v>
      </c>
      <c r="D429" s="295">
        <v>17.684000000000001</v>
      </c>
    </row>
    <row r="430" spans="1:4" ht="27" x14ac:dyDescent="0.3">
      <c r="A430" s="223" t="s">
        <v>745</v>
      </c>
      <c r="B430" s="199" t="s">
        <v>746</v>
      </c>
      <c r="C430" s="198" t="s">
        <v>198</v>
      </c>
      <c r="D430" s="295">
        <v>9.4619999999999997</v>
      </c>
    </row>
    <row r="431" spans="1:4" x14ac:dyDescent="0.3">
      <c r="A431" s="223" t="s">
        <v>750</v>
      </c>
      <c r="B431" s="199" t="s">
        <v>751</v>
      </c>
      <c r="C431" s="198" t="s">
        <v>728</v>
      </c>
      <c r="D431" s="295">
        <v>22.54</v>
      </c>
    </row>
    <row r="432" spans="1:4" ht="27" x14ac:dyDescent="0.3">
      <c r="A432" s="223" t="s">
        <v>747</v>
      </c>
      <c r="B432" s="199" t="s">
        <v>748</v>
      </c>
      <c r="C432" s="198" t="s">
        <v>749</v>
      </c>
      <c r="D432" s="295">
        <v>10.082000000000001</v>
      </c>
    </row>
    <row r="433" spans="1:4" x14ac:dyDescent="0.3">
      <c r="A433" s="223" t="s">
        <v>1295</v>
      </c>
      <c r="B433" s="199" t="s">
        <v>1296</v>
      </c>
      <c r="C433" s="198" t="s">
        <v>199</v>
      </c>
      <c r="D433" s="295">
        <v>107.441</v>
      </c>
    </row>
    <row r="434" spans="1:4" x14ac:dyDescent="0.3">
      <c r="A434" s="223" t="s">
        <v>752</v>
      </c>
      <c r="B434" s="199" t="s">
        <v>753</v>
      </c>
      <c r="C434" s="198" t="s">
        <v>452</v>
      </c>
      <c r="D434" s="295">
        <v>1.071</v>
      </c>
    </row>
    <row r="435" spans="1:4" x14ac:dyDescent="0.3">
      <c r="A435" s="223">
        <v>90670</v>
      </c>
      <c r="B435" s="199" t="s">
        <v>218</v>
      </c>
      <c r="C435" s="198" t="s">
        <v>216</v>
      </c>
      <c r="D435" s="295">
        <v>181.06049999999999</v>
      </c>
    </row>
    <row r="436" spans="1:4" ht="27" x14ac:dyDescent="0.3">
      <c r="A436" s="223" t="s">
        <v>757</v>
      </c>
      <c r="B436" s="199" t="s">
        <v>758</v>
      </c>
      <c r="C436" s="198" t="s">
        <v>759</v>
      </c>
      <c r="D436" s="295">
        <v>343.50299999999999</v>
      </c>
    </row>
    <row r="437" spans="1:4" ht="27" x14ac:dyDescent="0.3">
      <c r="A437" s="223" t="s">
        <v>754</v>
      </c>
      <c r="B437" s="199" t="s">
        <v>755</v>
      </c>
      <c r="C437" s="198" t="s">
        <v>756</v>
      </c>
      <c r="D437" s="295">
        <v>1054.7</v>
      </c>
    </row>
    <row r="438" spans="1:4" x14ac:dyDescent="0.3">
      <c r="A438" s="223" t="s">
        <v>1272</v>
      </c>
      <c r="B438" s="199" t="s">
        <v>1273</v>
      </c>
      <c r="C438" s="198" t="s">
        <v>1274</v>
      </c>
      <c r="D438" s="295">
        <v>13913.32</v>
      </c>
    </row>
    <row r="439" spans="1:4" x14ac:dyDescent="0.3">
      <c r="A439" s="223" t="s">
        <v>763</v>
      </c>
      <c r="B439" s="199" t="s">
        <v>764</v>
      </c>
      <c r="C439" s="198" t="s">
        <v>198</v>
      </c>
      <c r="D439" s="295">
        <v>1794.2639999999999</v>
      </c>
    </row>
    <row r="440" spans="1:4" x14ac:dyDescent="0.3">
      <c r="A440" s="223" t="s">
        <v>1297</v>
      </c>
      <c r="B440" s="199" t="s">
        <v>1298</v>
      </c>
      <c r="C440" s="198" t="s">
        <v>199</v>
      </c>
      <c r="D440" s="295">
        <v>63.814</v>
      </c>
    </row>
    <row r="441" spans="1:4" ht="27" x14ac:dyDescent="0.3">
      <c r="A441" s="223" t="s">
        <v>338</v>
      </c>
      <c r="B441" s="199" t="s">
        <v>339</v>
      </c>
      <c r="C441" s="198" t="s">
        <v>340</v>
      </c>
      <c r="D441" s="295">
        <v>8.5079999999999991</v>
      </c>
    </row>
    <row r="442" spans="1:4" ht="27" x14ac:dyDescent="0.3">
      <c r="A442" s="223" t="s">
        <v>341</v>
      </c>
      <c r="B442" s="199" t="s">
        <v>342</v>
      </c>
      <c r="C442" s="198" t="s">
        <v>340</v>
      </c>
      <c r="D442" s="295">
        <v>10.659000000000001</v>
      </c>
    </row>
    <row r="443" spans="1:4" ht="27" x14ac:dyDescent="0.3">
      <c r="A443" s="223" t="s">
        <v>770</v>
      </c>
      <c r="B443" s="199" t="s">
        <v>771</v>
      </c>
      <c r="C443" s="198" t="s">
        <v>767</v>
      </c>
      <c r="D443" s="295">
        <v>1.052</v>
      </c>
    </row>
    <row r="444" spans="1:4" x14ac:dyDescent="0.3">
      <c r="A444" s="223" t="s">
        <v>765</v>
      </c>
      <c r="B444" s="199" t="s">
        <v>766</v>
      </c>
      <c r="C444" s="198" t="s">
        <v>767</v>
      </c>
      <c r="D444" s="295">
        <v>28.044</v>
      </c>
    </row>
    <row r="445" spans="1:4" ht="27" x14ac:dyDescent="0.3">
      <c r="A445" s="223" t="s">
        <v>775</v>
      </c>
      <c r="B445" s="199" t="s">
        <v>776</v>
      </c>
      <c r="C445" s="198" t="s">
        <v>683</v>
      </c>
      <c r="D445" s="295">
        <v>126.25700000000001</v>
      </c>
    </row>
    <row r="446" spans="1:4" x14ac:dyDescent="0.3">
      <c r="A446" s="223" t="s">
        <v>861</v>
      </c>
      <c r="B446" s="199" t="s">
        <v>862</v>
      </c>
      <c r="C446" s="198" t="s">
        <v>749</v>
      </c>
      <c r="D446" s="295">
        <v>140.49299999999999</v>
      </c>
    </row>
    <row r="447" spans="1:4" ht="27" x14ac:dyDescent="0.3">
      <c r="A447" s="223" t="s">
        <v>768</v>
      </c>
      <c r="B447" s="199" t="s">
        <v>769</v>
      </c>
      <c r="C447" s="198" t="s">
        <v>209</v>
      </c>
      <c r="D447" s="295">
        <v>49.442999999999998</v>
      </c>
    </row>
    <row r="448" spans="1:4" x14ac:dyDescent="0.3">
      <c r="A448" s="223" t="s">
        <v>1277</v>
      </c>
      <c r="B448" s="199" t="s">
        <v>1278</v>
      </c>
      <c r="C448" s="198" t="s">
        <v>199</v>
      </c>
      <c r="D448" s="295">
        <v>1881.6659999999999</v>
      </c>
    </row>
    <row r="449" spans="1:4" ht="27" x14ac:dyDescent="0.3">
      <c r="A449" s="223" t="s">
        <v>779</v>
      </c>
      <c r="B449" s="199" t="s">
        <v>780</v>
      </c>
      <c r="C449" s="198" t="s">
        <v>781</v>
      </c>
      <c r="D449" s="295">
        <v>29.585999999999999</v>
      </c>
    </row>
    <row r="450" spans="1:4" ht="27" x14ac:dyDescent="0.3">
      <c r="A450" s="223" t="s">
        <v>509</v>
      </c>
      <c r="B450" s="199" t="s">
        <v>510</v>
      </c>
      <c r="C450" s="198" t="s">
        <v>209</v>
      </c>
      <c r="D450" s="295">
        <v>0.57199999999999995</v>
      </c>
    </row>
    <row r="451" spans="1:4" x14ac:dyDescent="0.3">
      <c r="A451" s="223" t="s">
        <v>772</v>
      </c>
      <c r="B451" s="199" t="s">
        <v>773</v>
      </c>
      <c r="C451" s="198" t="s">
        <v>774</v>
      </c>
      <c r="D451" s="295">
        <v>2.6819999999999999</v>
      </c>
    </row>
    <row r="452" spans="1:4" x14ac:dyDescent="0.3">
      <c r="A452" s="224" t="s">
        <v>782</v>
      </c>
      <c r="B452" s="199" t="s">
        <v>783</v>
      </c>
      <c r="C452" s="198" t="s">
        <v>198</v>
      </c>
      <c r="D452" s="295">
        <v>312.13499999999999</v>
      </c>
    </row>
    <row r="453" spans="1:4" ht="27" x14ac:dyDescent="0.3">
      <c r="A453" s="223">
        <v>90732</v>
      </c>
      <c r="B453" s="199" t="s">
        <v>231</v>
      </c>
      <c r="C453" s="198" t="s">
        <v>216</v>
      </c>
      <c r="D453" s="295">
        <v>98.849000000000004</v>
      </c>
    </row>
    <row r="454" spans="1:4" x14ac:dyDescent="0.3">
      <c r="A454" s="223" t="s">
        <v>1301</v>
      </c>
      <c r="B454" s="199" t="s">
        <v>1302</v>
      </c>
      <c r="C454" s="198" t="s">
        <v>198</v>
      </c>
      <c r="D454" s="295">
        <v>237.37200000000001</v>
      </c>
    </row>
    <row r="455" spans="1:4" ht="27" x14ac:dyDescent="0.3">
      <c r="A455" s="223" t="s">
        <v>1062</v>
      </c>
      <c r="B455" s="199" t="s">
        <v>1063</v>
      </c>
      <c r="C455" s="198" t="s">
        <v>200</v>
      </c>
      <c r="D455" s="295">
        <v>0.106</v>
      </c>
    </row>
    <row r="456" spans="1:4" ht="27" x14ac:dyDescent="0.3">
      <c r="A456" s="223" t="s">
        <v>1066</v>
      </c>
      <c r="B456" s="199" t="s">
        <v>1067</v>
      </c>
      <c r="C456" s="198" t="s">
        <v>198</v>
      </c>
      <c r="D456" s="295">
        <v>0.01</v>
      </c>
    </row>
    <row r="457" spans="1:4" ht="27" x14ac:dyDescent="0.3">
      <c r="A457" s="223" t="s">
        <v>790</v>
      </c>
      <c r="B457" s="199" t="s">
        <v>791</v>
      </c>
      <c r="C457" s="198" t="s">
        <v>405</v>
      </c>
      <c r="D457" s="295">
        <v>56.331000000000003</v>
      </c>
    </row>
    <row r="458" spans="1:4" ht="27" x14ac:dyDescent="0.3">
      <c r="A458" s="223" t="s">
        <v>448</v>
      </c>
      <c r="B458" s="199" t="s">
        <v>449</v>
      </c>
      <c r="C458" s="198" t="s">
        <v>199</v>
      </c>
      <c r="D458" s="295">
        <v>12.170999999999999</v>
      </c>
    </row>
    <row r="459" spans="1:4" ht="27" x14ac:dyDescent="0.3">
      <c r="A459" s="223" t="s">
        <v>1364</v>
      </c>
      <c r="B459" s="199" t="s">
        <v>1365</v>
      </c>
      <c r="C459" s="198" t="s">
        <v>200</v>
      </c>
      <c r="D459" s="295">
        <v>3.5999999999999997E-2</v>
      </c>
    </row>
    <row r="460" spans="1:4" ht="27" x14ac:dyDescent="0.3">
      <c r="A460" s="223" t="s">
        <v>1370</v>
      </c>
      <c r="B460" s="199" t="s">
        <v>1371</v>
      </c>
      <c r="C460" s="198" t="s">
        <v>848</v>
      </c>
      <c r="D460" s="295">
        <v>1.7000000000000001E-2</v>
      </c>
    </row>
    <row r="461" spans="1:4" ht="27" x14ac:dyDescent="0.3">
      <c r="A461" s="223" t="s">
        <v>777</v>
      </c>
      <c r="B461" s="199" t="s">
        <v>778</v>
      </c>
      <c r="C461" s="198" t="s">
        <v>209</v>
      </c>
      <c r="D461" s="295">
        <v>2.101</v>
      </c>
    </row>
    <row r="462" spans="1:4" x14ac:dyDescent="0.3">
      <c r="A462" s="223" t="s">
        <v>649</v>
      </c>
      <c r="B462" s="199" t="s">
        <v>650</v>
      </c>
      <c r="C462" s="198" t="s">
        <v>198</v>
      </c>
      <c r="D462" s="295">
        <v>1.663</v>
      </c>
    </row>
    <row r="463" spans="1:4" x14ac:dyDescent="0.3">
      <c r="A463" s="223" t="s">
        <v>798</v>
      </c>
      <c r="B463" s="199" t="s">
        <v>799</v>
      </c>
      <c r="C463" s="198" t="s">
        <v>371</v>
      </c>
      <c r="D463" s="295">
        <v>15.222</v>
      </c>
    </row>
    <row r="464" spans="1:4" x14ac:dyDescent="0.3">
      <c r="A464" s="223" t="s">
        <v>918</v>
      </c>
      <c r="B464" s="199" t="s">
        <v>919</v>
      </c>
      <c r="C464" s="198" t="s">
        <v>257</v>
      </c>
      <c r="D464" s="295">
        <v>12.000999999999999</v>
      </c>
    </row>
    <row r="465" spans="1:6" x14ac:dyDescent="0.3">
      <c r="A465" s="223" t="s">
        <v>804</v>
      </c>
      <c r="B465" s="199" t="s">
        <v>805</v>
      </c>
      <c r="C465" s="198" t="s">
        <v>284</v>
      </c>
      <c r="D465" s="295">
        <v>435.30700000000002</v>
      </c>
    </row>
    <row r="466" spans="1:6" x14ac:dyDescent="0.3">
      <c r="A466" s="223">
        <v>90376</v>
      </c>
      <c r="B466" s="199" t="s">
        <v>207</v>
      </c>
      <c r="C466" s="198" t="s">
        <v>206</v>
      </c>
      <c r="D466" s="295">
        <v>296.23899999999998</v>
      </c>
    </row>
    <row r="467" spans="1:6" x14ac:dyDescent="0.3">
      <c r="A467" s="223">
        <v>90375</v>
      </c>
      <c r="B467" s="199" t="s">
        <v>205</v>
      </c>
      <c r="C467" s="198" t="s">
        <v>206</v>
      </c>
      <c r="D467" s="295">
        <v>281.91300000000001</v>
      </c>
    </row>
    <row r="468" spans="1:6" x14ac:dyDescent="0.3">
      <c r="A468" s="223">
        <v>90675</v>
      </c>
      <c r="B468" s="199" t="s">
        <v>220</v>
      </c>
      <c r="C468" s="198" t="s">
        <v>204</v>
      </c>
      <c r="D468" s="295">
        <v>262.98</v>
      </c>
    </row>
    <row r="469" spans="1:6" ht="129.6" x14ac:dyDescent="0.3">
      <c r="A469" s="223" t="s">
        <v>258</v>
      </c>
      <c r="B469" s="199" t="s">
        <v>259</v>
      </c>
      <c r="C469" s="205" t="s">
        <v>260</v>
      </c>
      <c r="D469" s="295" t="s">
        <v>1551</v>
      </c>
      <c r="F469" s="345" t="s">
        <v>2633</v>
      </c>
    </row>
    <row r="470" spans="1:6" x14ac:dyDescent="0.3">
      <c r="A470" s="223" t="s">
        <v>806</v>
      </c>
      <c r="B470" s="199" t="s">
        <v>807</v>
      </c>
      <c r="C470" s="198" t="s">
        <v>808</v>
      </c>
      <c r="D470" s="295">
        <v>380.22199999999998</v>
      </c>
    </row>
    <row r="471" spans="1:6" ht="27" x14ac:dyDescent="0.3">
      <c r="A471" s="223" t="s">
        <v>809</v>
      </c>
      <c r="B471" s="199" t="s">
        <v>810</v>
      </c>
      <c r="C471" s="198" t="s">
        <v>553</v>
      </c>
      <c r="D471" s="295">
        <v>1.1850000000000001</v>
      </c>
    </row>
    <row r="472" spans="1:6" x14ac:dyDescent="0.3">
      <c r="A472" s="223" t="s">
        <v>811</v>
      </c>
      <c r="B472" s="199" t="s">
        <v>812</v>
      </c>
      <c r="C472" s="198" t="s">
        <v>396</v>
      </c>
      <c r="D472" s="295">
        <v>255.05799999999999</v>
      </c>
    </row>
    <row r="473" spans="1:6" x14ac:dyDescent="0.3">
      <c r="A473" s="223" t="s">
        <v>813</v>
      </c>
      <c r="B473" s="199" t="s">
        <v>814</v>
      </c>
      <c r="C473" s="198" t="s">
        <v>273</v>
      </c>
      <c r="D473" s="295">
        <v>55.287999999999997</v>
      </c>
    </row>
    <row r="474" spans="1:6" ht="27" x14ac:dyDescent="0.3">
      <c r="A474" s="223" t="s">
        <v>817</v>
      </c>
      <c r="B474" s="199" t="s">
        <v>818</v>
      </c>
      <c r="C474" s="198" t="s">
        <v>819</v>
      </c>
      <c r="D474" s="295">
        <v>25.294</v>
      </c>
    </row>
    <row r="475" spans="1:6" ht="27" x14ac:dyDescent="0.3">
      <c r="A475" s="223" t="s">
        <v>820</v>
      </c>
      <c r="B475" s="199" t="s">
        <v>821</v>
      </c>
      <c r="C475" s="198" t="s">
        <v>822</v>
      </c>
      <c r="D475" s="295">
        <v>80.188000000000002</v>
      </c>
    </row>
    <row r="476" spans="1:6" ht="27" x14ac:dyDescent="0.3">
      <c r="A476" s="223" t="s">
        <v>826</v>
      </c>
      <c r="B476" s="199" t="s">
        <v>827</v>
      </c>
      <c r="C476" s="198" t="s">
        <v>825</v>
      </c>
      <c r="D476" s="295">
        <v>22.318000000000001</v>
      </c>
    </row>
    <row r="477" spans="1:6" x14ac:dyDescent="0.3">
      <c r="A477" s="223" t="s">
        <v>823</v>
      </c>
      <c r="B477" s="199" t="s">
        <v>824</v>
      </c>
      <c r="C477" s="198" t="s">
        <v>825</v>
      </c>
      <c r="D477" s="295">
        <v>4.7880000000000003</v>
      </c>
    </row>
    <row r="478" spans="1:6" x14ac:dyDescent="0.3">
      <c r="A478" s="223" t="s">
        <v>957</v>
      </c>
      <c r="B478" s="199" t="s">
        <v>958</v>
      </c>
      <c r="C478" s="198" t="s">
        <v>956</v>
      </c>
      <c r="D478" s="295">
        <v>2.2789999999999999</v>
      </c>
    </row>
    <row r="479" spans="1:6" ht="27" x14ac:dyDescent="0.3">
      <c r="A479" s="223" t="s">
        <v>828</v>
      </c>
      <c r="B479" s="199" t="s">
        <v>829</v>
      </c>
      <c r="C479" s="198" t="s">
        <v>396</v>
      </c>
      <c r="D479" s="295">
        <v>8.1259999999999994</v>
      </c>
    </row>
    <row r="480" spans="1:6" x14ac:dyDescent="0.3">
      <c r="A480" s="223" t="s">
        <v>2415</v>
      </c>
      <c r="B480" s="199" t="s">
        <v>2416</v>
      </c>
      <c r="C480" s="198" t="s">
        <v>257</v>
      </c>
      <c r="D480" s="295">
        <v>818.49699999999996</v>
      </c>
    </row>
    <row r="481" spans="1:4" ht="27" x14ac:dyDescent="0.3">
      <c r="A481" s="224">
        <v>90673</v>
      </c>
      <c r="B481" s="199" t="s">
        <v>2398</v>
      </c>
      <c r="C481" s="208" t="s">
        <v>216</v>
      </c>
      <c r="D481" s="295">
        <v>40.612499999999997</v>
      </c>
    </row>
    <row r="482" spans="1:4" x14ac:dyDescent="0.3">
      <c r="A482" s="223" t="s">
        <v>1310</v>
      </c>
      <c r="B482" s="199" t="s">
        <v>1311</v>
      </c>
      <c r="C482" s="198" t="s">
        <v>198</v>
      </c>
      <c r="D482" s="295">
        <v>306.13799999999998</v>
      </c>
    </row>
    <row r="483" spans="1:4" x14ac:dyDescent="0.3">
      <c r="A483" s="225" t="s">
        <v>832</v>
      </c>
      <c r="B483" s="199" t="s">
        <v>833</v>
      </c>
      <c r="C483" s="198" t="s">
        <v>834</v>
      </c>
      <c r="D483" s="295">
        <v>64.200999999999993</v>
      </c>
    </row>
    <row r="484" spans="1:4" ht="27" x14ac:dyDescent="0.3">
      <c r="A484" s="223" t="s">
        <v>830</v>
      </c>
      <c r="B484" s="199" t="s">
        <v>831</v>
      </c>
      <c r="C484" s="198" t="s">
        <v>198</v>
      </c>
      <c r="D484" s="295">
        <v>7.3999999999999996E-2</v>
      </c>
    </row>
    <row r="485" spans="1:4" x14ac:dyDescent="0.3">
      <c r="A485" s="223" t="s">
        <v>842</v>
      </c>
      <c r="B485" s="199" t="s">
        <v>843</v>
      </c>
      <c r="C485" s="198" t="s">
        <v>325</v>
      </c>
      <c r="D485" s="295">
        <v>37.133000000000003</v>
      </c>
    </row>
    <row r="486" spans="1:4" x14ac:dyDescent="0.3">
      <c r="A486" s="223" t="s">
        <v>837</v>
      </c>
      <c r="B486" s="199" t="s">
        <v>838</v>
      </c>
      <c r="C486" s="198" t="s">
        <v>839</v>
      </c>
      <c r="D486" s="295">
        <v>96.986999999999995</v>
      </c>
    </row>
    <row r="487" spans="1:4" x14ac:dyDescent="0.3">
      <c r="A487" s="223" t="s">
        <v>1374</v>
      </c>
      <c r="B487" s="199" t="s">
        <v>1375</v>
      </c>
      <c r="C487" s="198" t="s">
        <v>1376</v>
      </c>
      <c r="D487" s="295">
        <v>37941.904999999999</v>
      </c>
    </row>
    <row r="488" spans="1:4" x14ac:dyDescent="0.3">
      <c r="A488" s="223" t="s">
        <v>1077</v>
      </c>
      <c r="B488" s="199" t="s">
        <v>1078</v>
      </c>
      <c r="C488" s="198" t="s">
        <v>198</v>
      </c>
      <c r="D488" s="295">
        <v>7.8440000000000003</v>
      </c>
    </row>
    <row r="489" spans="1:4" ht="27" x14ac:dyDescent="0.3">
      <c r="A489" s="223" t="s">
        <v>411</v>
      </c>
      <c r="B489" s="199" t="s">
        <v>412</v>
      </c>
      <c r="C489" s="198" t="s">
        <v>413</v>
      </c>
      <c r="D489" s="295">
        <v>2.6379999999999999</v>
      </c>
    </row>
    <row r="490" spans="1:4" x14ac:dyDescent="0.3">
      <c r="A490" s="223" t="s">
        <v>855</v>
      </c>
      <c r="B490" s="199" t="s">
        <v>856</v>
      </c>
      <c r="C490" s="198" t="s">
        <v>405</v>
      </c>
      <c r="D490" s="295">
        <v>12.856</v>
      </c>
    </row>
    <row r="491" spans="1:4" x14ac:dyDescent="0.3">
      <c r="A491" s="223" t="s">
        <v>1312</v>
      </c>
      <c r="B491" s="199" t="s">
        <v>1313</v>
      </c>
      <c r="C491" s="198" t="s">
        <v>405</v>
      </c>
      <c r="D491" s="295">
        <v>318.60500000000002</v>
      </c>
    </row>
    <row r="492" spans="1:4" x14ac:dyDescent="0.3">
      <c r="A492" s="223" t="s">
        <v>1256</v>
      </c>
      <c r="B492" s="199" t="s">
        <v>1257</v>
      </c>
      <c r="C492" s="198" t="s">
        <v>209</v>
      </c>
      <c r="D492" s="295">
        <v>27762.436000000002</v>
      </c>
    </row>
    <row r="493" spans="1:4" x14ac:dyDescent="0.3">
      <c r="A493" s="223" t="s">
        <v>1038</v>
      </c>
      <c r="B493" s="199" t="s">
        <v>1039</v>
      </c>
      <c r="C493" s="198" t="s">
        <v>198</v>
      </c>
      <c r="D493" s="295">
        <v>13.026999999999999</v>
      </c>
    </row>
    <row r="494" spans="1:4" ht="27" x14ac:dyDescent="0.3">
      <c r="A494" s="224" t="s">
        <v>1058</v>
      </c>
      <c r="B494" s="199" t="s">
        <v>1059</v>
      </c>
      <c r="C494" s="207" t="s">
        <v>273</v>
      </c>
      <c r="D494" s="295">
        <v>0.39300000000000002</v>
      </c>
    </row>
    <row r="495" spans="1:4" ht="27" x14ac:dyDescent="0.3">
      <c r="A495" s="224" t="s">
        <v>1052</v>
      </c>
      <c r="B495" s="199" t="s">
        <v>1053</v>
      </c>
      <c r="C495" s="207" t="s">
        <v>458</v>
      </c>
      <c r="D495" s="295">
        <v>1.2330000000000001</v>
      </c>
    </row>
    <row r="496" spans="1:4" ht="27" x14ac:dyDescent="0.3">
      <c r="A496" s="223" t="s">
        <v>1056</v>
      </c>
      <c r="B496" s="199" t="s">
        <v>1057</v>
      </c>
      <c r="C496" s="198" t="s">
        <v>198</v>
      </c>
      <c r="D496" s="295">
        <v>0.751</v>
      </c>
    </row>
    <row r="497" spans="1:4" x14ac:dyDescent="0.3">
      <c r="A497" s="223" t="s">
        <v>1079</v>
      </c>
      <c r="B497" s="199" t="s">
        <v>1080</v>
      </c>
      <c r="C497" s="198" t="s">
        <v>200</v>
      </c>
      <c r="D497" s="295">
        <v>170.74600000000001</v>
      </c>
    </row>
    <row r="498" spans="1:4" ht="27" x14ac:dyDescent="0.3">
      <c r="A498" s="223">
        <v>90714</v>
      </c>
      <c r="B498" s="199" t="s">
        <v>229</v>
      </c>
      <c r="C498" s="198" t="s">
        <v>216</v>
      </c>
      <c r="D498" s="295">
        <v>23.227</v>
      </c>
    </row>
    <row r="499" spans="1:4" ht="27" x14ac:dyDescent="0.3">
      <c r="A499" s="223">
        <v>90715</v>
      </c>
      <c r="B499" s="199" t="s">
        <v>230</v>
      </c>
      <c r="C499" s="198" t="s">
        <v>216</v>
      </c>
      <c r="D499" s="295">
        <v>29.989000000000001</v>
      </c>
    </row>
    <row r="500" spans="1:4" x14ac:dyDescent="0.3">
      <c r="A500" s="223" t="s">
        <v>865</v>
      </c>
      <c r="B500" s="199" t="s">
        <v>866</v>
      </c>
      <c r="C500" s="198" t="s">
        <v>199</v>
      </c>
      <c r="D500" s="295">
        <v>5.1260000000000003</v>
      </c>
    </row>
    <row r="501" spans="1:4" x14ac:dyDescent="0.3">
      <c r="A501" s="223" t="s">
        <v>1139</v>
      </c>
      <c r="B501" s="199" t="s">
        <v>1140</v>
      </c>
      <c r="C501" s="198" t="s">
        <v>200</v>
      </c>
      <c r="D501" s="295">
        <v>1.946</v>
      </c>
    </row>
    <row r="502" spans="1:4" x14ac:dyDescent="0.3">
      <c r="A502" s="223" t="s">
        <v>1317</v>
      </c>
      <c r="B502" s="199" t="s">
        <v>1318</v>
      </c>
      <c r="C502" s="198" t="s">
        <v>198</v>
      </c>
      <c r="D502" s="295">
        <v>8.1739999999999995</v>
      </c>
    </row>
    <row r="503" spans="1:4" x14ac:dyDescent="0.3">
      <c r="A503" s="223" t="s">
        <v>1319</v>
      </c>
      <c r="B503" s="199" t="s">
        <v>1320</v>
      </c>
      <c r="C503" s="198" t="s">
        <v>198</v>
      </c>
      <c r="D503" s="295">
        <v>67.932000000000002</v>
      </c>
    </row>
    <row r="504" spans="1:4" x14ac:dyDescent="0.3">
      <c r="A504" s="223" t="s">
        <v>867</v>
      </c>
      <c r="B504" s="199" t="s">
        <v>868</v>
      </c>
      <c r="C504" s="198" t="s">
        <v>198</v>
      </c>
      <c r="D504" s="295">
        <v>102.42700000000001</v>
      </c>
    </row>
    <row r="505" spans="1:4" x14ac:dyDescent="0.3">
      <c r="A505" s="223" t="s">
        <v>869</v>
      </c>
      <c r="B505" s="199" t="s">
        <v>870</v>
      </c>
      <c r="C505" s="198" t="s">
        <v>198</v>
      </c>
      <c r="D505" s="295">
        <v>3.3</v>
      </c>
    </row>
    <row r="506" spans="1:4" ht="27" x14ac:dyDescent="0.3">
      <c r="A506" s="223" t="s">
        <v>630</v>
      </c>
      <c r="B506" s="199" t="s">
        <v>631</v>
      </c>
      <c r="C506" s="198" t="s">
        <v>632</v>
      </c>
      <c r="D506" s="295">
        <v>376.512</v>
      </c>
    </row>
    <row r="507" spans="1:4" x14ac:dyDescent="0.3">
      <c r="A507" s="223" t="s">
        <v>1403</v>
      </c>
      <c r="B507" s="199" t="s">
        <v>1404</v>
      </c>
      <c r="C507" s="205" t="s">
        <v>1042</v>
      </c>
      <c r="D507" s="295">
        <v>43.353000000000002</v>
      </c>
    </row>
    <row r="508" spans="1:4" x14ac:dyDescent="0.3">
      <c r="A508" s="223" t="s">
        <v>916</v>
      </c>
      <c r="B508" s="199" t="s">
        <v>917</v>
      </c>
      <c r="C508" s="198" t="s">
        <v>257</v>
      </c>
      <c r="D508" s="295">
        <v>3.1850000000000001</v>
      </c>
    </row>
    <row r="509" spans="1:4" x14ac:dyDescent="0.3">
      <c r="A509" s="223" t="s">
        <v>877</v>
      </c>
      <c r="B509" s="199" t="s">
        <v>878</v>
      </c>
      <c r="C509" s="198" t="s">
        <v>879</v>
      </c>
      <c r="D509" s="295">
        <v>1574.8209999999999</v>
      </c>
    </row>
    <row r="510" spans="1:4" x14ac:dyDescent="0.3">
      <c r="A510" s="223" t="s">
        <v>880</v>
      </c>
      <c r="B510" s="199" t="s">
        <v>881</v>
      </c>
      <c r="C510" s="198" t="s">
        <v>198</v>
      </c>
      <c r="D510" s="295">
        <v>3.1930000000000001</v>
      </c>
    </row>
    <row r="511" spans="1:4" ht="27" x14ac:dyDescent="0.3">
      <c r="A511" s="223" t="s">
        <v>1111</v>
      </c>
      <c r="B511" s="199" t="s">
        <v>1112</v>
      </c>
      <c r="C511" s="198" t="s">
        <v>683</v>
      </c>
      <c r="D511" s="295">
        <v>44.158000000000001</v>
      </c>
    </row>
    <row r="512" spans="1:4" ht="27" x14ac:dyDescent="0.3">
      <c r="A512" s="223" t="s">
        <v>886</v>
      </c>
      <c r="B512" s="199" t="s">
        <v>887</v>
      </c>
      <c r="C512" s="198" t="s">
        <v>494</v>
      </c>
      <c r="D512" s="295">
        <v>2.2829999999999999</v>
      </c>
    </row>
    <row r="513" spans="1:4" x14ac:dyDescent="0.3">
      <c r="A513" s="223" t="s">
        <v>888</v>
      </c>
      <c r="B513" s="199" t="s">
        <v>889</v>
      </c>
      <c r="C513" s="198" t="s">
        <v>198</v>
      </c>
      <c r="D513" s="295">
        <v>4.2569999999999997</v>
      </c>
    </row>
    <row r="514" spans="1:4" x14ac:dyDescent="0.3">
      <c r="A514" s="223" t="s">
        <v>1323</v>
      </c>
      <c r="B514" s="199" t="s">
        <v>1324</v>
      </c>
      <c r="C514" s="198" t="s">
        <v>273</v>
      </c>
      <c r="D514" s="295">
        <v>1.071</v>
      </c>
    </row>
    <row r="515" spans="1:4" x14ac:dyDescent="0.3">
      <c r="A515" s="223" t="s">
        <v>1141</v>
      </c>
      <c r="B515" s="199" t="s">
        <v>1142</v>
      </c>
      <c r="C515" s="198" t="s">
        <v>1143</v>
      </c>
      <c r="D515" s="295">
        <v>103.818</v>
      </c>
    </row>
    <row r="516" spans="1:4" x14ac:dyDescent="0.3">
      <c r="A516" s="223" t="s">
        <v>1329</v>
      </c>
      <c r="B516" s="199" t="s">
        <v>1819</v>
      </c>
      <c r="C516" s="217" t="s">
        <v>199</v>
      </c>
      <c r="D516" s="295">
        <v>94.527000000000001</v>
      </c>
    </row>
    <row r="517" spans="1:4" x14ac:dyDescent="0.3">
      <c r="A517" s="223" t="s">
        <v>890</v>
      </c>
      <c r="B517" s="199" t="s">
        <v>891</v>
      </c>
      <c r="C517" s="198" t="s">
        <v>198</v>
      </c>
      <c r="D517" s="295">
        <v>61.237000000000002</v>
      </c>
    </row>
    <row r="518" spans="1:4" ht="27" x14ac:dyDescent="0.3">
      <c r="A518" s="223" t="s">
        <v>1113</v>
      </c>
      <c r="B518" s="199" t="s">
        <v>1114</v>
      </c>
      <c r="C518" s="198" t="s">
        <v>1115</v>
      </c>
      <c r="D518" s="295">
        <v>531.28899999999999</v>
      </c>
    </row>
    <row r="519" spans="1:4" ht="27" x14ac:dyDescent="0.3">
      <c r="A519" s="223" t="s">
        <v>892</v>
      </c>
      <c r="B519" s="199" t="s">
        <v>893</v>
      </c>
      <c r="C519" s="198" t="s">
        <v>198</v>
      </c>
      <c r="D519" s="295">
        <v>3.722</v>
      </c>
    </row>
    <row r="520" spans="1:4" ht="27" x14ac:dyDescent="0.3">
      <c r="A520" s="223" t="s">
        <v>894</v>
      </c>
      <c r="B520" s="199" t="s">
        <v>895</v>
      </c>
      <c r="C520" s="198" t="s">
        <v>199</v>
      </c>
      <c r="D520" s="295">
        <v>1.786</v>
      </c>
    </row>
    <row r="521" spans="1:4" ht="27" x14ac:dyDescent="0.3">
      <c r="A521" s="223" t="s">
        <v>2462</v>
      </c>
      <c r="B521" s="199" t="s">
        <v>2463</v>
      </c>
      <c r="C521" s="198" t="s">
        <v>200</v>
      </c>
      <c r="D521" s="295">
        <v>3.6119500000000002</v>
      </c>
    </row>
    <row r="522" spans="1:4" ht="27" x14ac:dyDescent="0.3">
      <c r="A522" s="223" t="s">
        <v>884</v>
      </c>
      <c r="B522" s="199" t="s">
        <v>885</v>
      </c>
      <c r="C522" s="198" t="s">
        <v>442</v>
      </c>
      <c r="D522" s="295">
        <v>26.901</v>
      </c>
    </row>
    <row r="523" spans="1:4" x14ac:dyDescent="0.3">
      <c r="A523" s="223" t="s">
        <v>898</v>
      </c>
      <c r="B523" s="199" t="s">
        <v>899</v>
      </c>
      <c r="C523" s="198" t="s">
        <v>670</v>
      </c>
      <c r="D523" s="295">
        <v>402.37700000000001</v>
      </c>
    </row>
    <row r="524" spans="1:4" x14ac:dyDescent="0.3">
      <c r="A524" s="223">
        <v>90691</v>
      </c>
      <c r="B524" s="199" t="s">
        <v>228</v>
      </c>
      <c r="C524" s="198" t="s">
        <v>216</v>
      </c>
      <c r="D524" s="295">
        <v>77.587000000000003</v>
      </c>
    </row>
    <row r="525" spans="1:4" ht="27" x14ac:dyDescent="0.3">
      <c r="A525" s="223" t="s">
        <v>900</v>
      </c>
      <c r="B525" s="199" t="s">
        <v>901</v>
      </c>
      <c r="C525" s="198" t="s">
        <v>198</v>
      </c>
      <c r="D525" s="295">
        <v>173.185</v>
      </c>
    </row>
    <row r="526" spans="1:4" x14ac:dyDescent="0.3">
      <c r="A526" s="223" t="s">
        <v>1333</v>
      </c>
      <c r="B526" s="199" t="s">
        <v>1334</v>
      </c>
      <c r="C526" s="198" t="s">
        <v>442</v>
      </c>
      <c r="D526" s="295">
        <v>1148.893</v>
      </c>
    </row>
    <row r="527" spans="1:4" ht="27" x14ac:dyDescent="0.3">
      <c r="A527" s="223" t="s">
        <v>906</v>
      </c>
      <c r="B527" s="199" t="s">
        <v>907</v>
      </c>
      <c r="C527" s="198" t="s">
        <v>284</v>
      </c>
      <c r="D527" s="295">
        <v>2.819</v>
      </c>
    </row>
    <row r="528" spans="1:4" x14ac:dyDescent="0.3">
      <c r="A528" s="223" t="s">
        <v>1254</v>
      </c>
      <c r="B528" s="199" t="s">
        <v>1255</v>
      </c>
      <c r="C528" s="198" t="s">
        <v>209</v>
      </c>
      <c r="D528" s="295">
        <v>3152.2910000000002</v>
      </c>
    </row>
    <row r="529" spans="1:4" x14ac:dyDescent="0.3">
      <c r="A529" s="223" t="s">
        <v>910</v>
      </c>
      <c r="B529" s="199" t="s">
        <v>911</v>
      </c>
      <c r="C529" s="198" t="s">
        <v>360</v>
      </c>
      <c r="D529" s="295">
        <v>342.98700000000002</v>
      </c>
    </row>
    <row r="530" spans="1:4" x14ac:dyDescent="0.3">
      <c r="A530" s="223" t="s">
        <v>912</v>
      </c>
      <c r="B530" s="199" t="s">
        <v>913</v>
      </c>
      <c r="C530" s="198" t="s">
        <v>273</v>
      </c>
      <c r="D530" s="295">
        <v>10.741</v>
      </c>
    </row>
    <row r="531" spans="1:4" x14ac:dyDescent="0.3">
      <c r="A531" s="223" t="s">
        <v>1335</v>
      </c>
      <c r="B531" s="199" t="s">
        <v>1336</v>
      </c>
      <c r="C531" s="198" t="s">
        <v>198</v>
      </c>
      <c r="D531" s="295">
        <v>3.7389999999999999</v>
      </c>
    </row>
    <row r="532" spans="1:4" ht="27" x14ac:dyDescent="0.3">
      <c r="A532" s="223" t="s">
        <v>1337</v>
      </c>
      <c r="B532" s="199" t="s">
        <v>1338</v>
      </c>
      <c r="C532" s="198" t="s">
        <v>198</v>
      </c>
      <c r="D532" s="295">
        <v>4.4740000000000002</v>
      </c>
    </row>
    <row r="533" spans="1:4" x14ac:dyDescent="0.3">
      <c r="A533" s="223" t="s">
        <v>1341</v>
      </c>
      <c r="B533" s="199" t="s">
        <v>1342</v>
      </c>
      <c r="C533" s="198" t="s">
        <v>199</v>
      </c>
      <c r="D533" s="295">
        <v>8.7309999999999999</v>
      </c>
    </row>
    <row r="534" spans="1:4" x14ac:dyDescent="0.3">
      <c r="A534" s="223" t="s">
        <v>920</v>
      </c>
      <c r="B534" s="199" t="s">
        <v>921</v>
      </c>
      <c r="C534" s="198" t="s">
        <v>922</v>
      </c>
      <c r="D534" s="295">
        <v>3.9009999999999998</v>
      </c>
    </row>
    <row r="535" spans="1:4" ht="27" x14ac:dyDescent="0.3">
      <c r="A535" s="223" t="s">
        <v>923</v>
      </c>
      <c r="B535" s="199" t="s">
        <v>924</v>
      </c>
      <c r="C535" s="198" t="s">
        <v>198</v>
      </c>
      <c r="D535" s="295">
        <v>3.5110000000000001</v>
      </c>
    </row>
    <row r="536" spans="1:4" x14ac:dyDescent="0.3">
      <c r="A536" s="223" t="s">
        <v>974</v>
      </c>
      <c r="B536" s="199" t="s">
        <v>975</v>
      </c>
      <c r="C536" s="198" t="s">
        <v>976</v>
      </c>
      <c r="D536" s="295">
        <v>0.94599999999999995</v>
      </c>
    </row>
    <row r="537" spans="1:4" x14ac:dyDescent="0.3">
      <c r="A537" s="223" t="s">
        <v>977</v>
      </c>
      <c r="B537" s="199" t="s">
        <v>978</v>
      </c>
      <c r="C537" s="198" t="s">
        <v>963</v>
      </c>
      <c r="D537" s="295">
        <v>1.222</v>
      </c>
    </row>
    <row r="538" spans="1:4" x14ac:dyDescent="0.3">
      <c r="A538" s="223" t="s">
        <v>710</v>
      </c>
      <c r="B538" s="199" t="s">
        <v>711</v>
      </c>
      <c r="C538" s="198" t="s">
        <v>452</v>
      </c>
      <c r="D538" s="295">
        <v>7.3280000000000003</v>
      </c>
    </row>
    <row r="539" spans="1:4" x14ac:dyDescent="0.3">
      <c r="A539" s="223" t="s">
        <v>937</v>
      </c>
      <c r="B539" s="199" t="s">
        <v>938</v>
      </c>
      <c r="C539" s="198" t="s">
        <v>199</v>
      </c>
      <c r="D539" s="295">
        <v>1.5089999999999999</v>
      </c>
    </row>
    <row r="540" spans="1:4" x14ac:dyDescent="0.3">
      <c r="A540" s="223" t="s">
        <v>939</v>
      </c>
      <c r="B540" s="199" t="s">
        <v>940</v>
      </c>
      <c r="C540" s="198" t="s">
        <v>199</v>
      </c>
      <c r="D540" s="295">
        <v>19.873000000000001</v>
      </c>
    </row>
    <row r="541" spans="1:4" x14ac:dyDescent="0.3">
      <c r="A541" s="234" t="s">
        <v>941</v>
      </c>
      <c r="B541" s="235" t="s">
        <v>942</v>
      </c>
      <c r="C541" s="236" t="s">
        <v>198</v>
      </c>
      <c r="D541" s="297">
        <v>12.451000000000001</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3C0E-C66D-4970-8B6E-BD28DA4A3E2D}">
  <dimension ref="A1:E542"/>
  <sheetViews>
    <sheetView topLeftCell="A390" workbookViewId="0">
      <selection activeCell="B410" sqref="B410"/>
    </sheetView>
  </sheetViews>
  <sheetFormatPr defaultRowHeight="14.4" x14ac:dyDescent="0.3"/>
  <cols>
    <col min="1" max="1" width="14.44140625" customWidth="1"/>
    <col min="2" max="2" width="17.44140625" customWidth="1"/>
    <col min="3" max="3" width="21.44140625" customWidth="1"/>
    <col min="4" max="4" width="15.21875" customWidth="1"/>
  </cols>
  <sheetData>
    <row r="1" spans="1:5" x14ac:dyDescent="0.3">
      <c r="A1" s="269" t="s">
        <v>201</v>
      </c>
      <c r="B1" s="270" t="s">
        <v>202</v>
      </c>
      <c r="C1" s="271" t="s">
        <v>196</v>
      </c>
      <c r="D1" s="272" t="s">
        <v>197</v>
      </c>
      <c r="E1" s="347" t="s">
        <v>1467</v>
      </c>
    </row>
    <row r="2" spans="1:5" x14ac:dyDescent="0.3">
      <c r="A2" s="251">
        <v>90371</v>
      </c>
      <c r="B2" s="258" t="s">
        <v>203</v>
      </c>
      <c r="C2" s="253" t="s">
        <v>204</v>
      </c>
      <c r="D2" s="96">
        <v>108.239</v>
      </c>
    </row>
    <row r="3" spans="1:5" x14ac:dyDescent="0.3">
      <c r="A3" s="251">
        <v>90375</v>
      </c>
      <c r="B3" s="258" t="s">
        <v>205</v>
      </c>
      <c r="C3" s="253" t="s">
        <v>206</v>
      </c>
      <c r="D3" s="96">
        <v>287.291</v>
      </c>
    </row>
    <row r="4" spans="1:5" ht="27" x14ac:dyDescent="0.3">
      <c r="A4" s="251">
        <v>90376</v>
      </c>
      <c r="B4" s="258" t="s">
        <v>207</v>
      </c>
      <c r="C4" s="253" t="s">
        <v>206</v>
      </c>
      <c r="D4" s="96">
        <v>313.96800000000002</v>
      </c>
    </row>
    <row r="5" spans="1:5" x14ac:dyDescent="0.3">
      <c r="A5" s="251">
        <v>90585</v>
      </c>
      <c r="B5" s="258" t="s">
        <v>208</v>
      </c>
      <c r="C5" s="253" t="s">
        <v>209</v>
      </c>
      <c r="D5" s="96">
        <v>128.679</v>
      </c>
    </row>
    <row r="6" spans="1:5" ht="27" x14ac:dyDescent="0.3">
      <c r="A6" s="251">
        <v>90586</v>
      </c>
      <c r="B6" s="258" t="s">
        <v>210</v>
      </c>
      <c r="C6" s="253" t="s">
        <v>211</v>
      </c>
      <c r="D6" s="96">
        <v>128.679</v>
      </c>
    </row>
    <row r="7" spans="1:5" ht="27" x14ac:dyDescent="0.3">
      <c r="A7" s="251">
        <v>90630</v>
      </c>
      <c r="B7" s="258" t="s">
        <v>2396</v>
      </c>
      <c r="C7" s="253" t="s">
        <v>1810</v>
      </c>
      <c r="D7" s="34">
        <v>20.343299999999996</v>
      </c>
    </row>
    <row r="8" spans="1:5" ht="27" x14ac:dyDescent="0.3">
      <c r="A8" s="251">
        <v>90632</v>
      </c>
      <c r="B8" s="258" t="s">
        <v>212</v>
      </c>
      <c r="C8" s="253" t="s">
        <v>204</v>
      </c>
      <c r="D8" s="96">
        <v>54.978999999999999</v>
      </c>
    </row>
    <row r="9" spans="1:5" ht="27" x14ac:dyDescent="0.3">
      <c r="A9" s="251">
        <v>90653</v>
      </c>
      <c r="B9" s="258" t="s">
        <v>213</v>
      </c>
      <c r="C9" s="253" t="s">
        <v>214</v>
      </c>
      <c r="D9" s="34">
        <v>37.3825</v>
      </c>
    </row>
    <row r="10" spans="1:5" ht="27" x14ac:dyDescent="0.3">
      <c r="A10" s="251">
        <v>90656</v>
      </c>
      <c r="B10" s="258" t="s">
        <v>215</v>
      </c>
      <c r="C10" s="253" t="s">
        <v>216</v>
      </c>
      <c r="D10" s="34">
        <v>17.716550000000002</v>
      </c>
    </row>
    <row r="11" spans="1:5" ht="27" x14ac:dyDescent="0.3">
      <c r="A11" s="251">
        <v>90662</v>
      </c>
      <c r="B11" s="258" t="s">
        <v>217</v>
      </c>
      <c r="C11" s="257" t="s">
        <v>216</v>
      </c>
      <c r="D11" s="34">
        <v>42.722449999999995</v>
      </c>
    </row>
    <row r="12" spans="1:5" x14ac:dyDescent="0.3">
      <c r="A12" s="251">
        <v>90670</v>
      </c>
      <c r="B12" s="258" t="s">
        <v>218</v>
      </c>
      <c r="C12" s="253" t="s">
        <v>216</v>
      </c>
      <c r="D12" s="96">
        <v>192.637</v>
      </c>
    </row>
    <row r="13" spans="1:5" ht="27" x14ac:dyDescent="0.3">
      <c r="A13" s="250">
        <v>90672</v>
      </c>
      <c r="B13" s="258" t="s">
        <v>1547</v>
      </c>
      <c r="C13" s="259" t="s">
        <v>2397</v>
      </c>
      <c r="D13" s="34">
        <v>26.875499999999999</v>
      </c>
    </row>
    <row r="14" spans="1:5" ht="27" x14ac:dyDescent="0.3">
      <c r="A14" s="250">
        <v>90673</v>
      </c>
      <c r="B14" s="258" t="s">
        <v>2398</v>
      </c>
      <c r="C14" s="260" t="s">
        <v>216</v>
      </c>
      <c r="D14" s="34">
        <v>40.612499999999997</v>
      </c>
    </row>
    <row r="15" spans="1:5" ht="27" x14ac:dyDescent="0.3">
      <c r="A15" s="250">
        <v>90674</v>
      </c>
      <c r="B15" s="258" t="s">
        <v>219</v>
      </c>
      <c r="C15" s="263" t="s">
        <v>216</v>
      </c>
      <c r="D15" s="34">
        <v>22.936</v>
      </c>
    </row>
    <row r="16" spans="1:5" x14ac:dyDescent="0.3">
      <c r="A16" s="251">
        <v>90675</v>
      </c>
      <c r="B16" s="258" t="s">
        <v>220</v>
      </c>
      <c r="C16" s="253" t="s">
        <v>204</v>
      </c>
      <c r="D16" s="96">
        <v>283.01900000000001</v>
      </c>
    </row>
    <row r="17" spans="1:4" ht="27" x14ac:dyDescent="0.3">
      <c r="A17" s="250">
        <v>90685</v>
      </c>
      <c r="B17" s="258" t="s">
        <v>222</v>
      </c>
      <c r="C17" s="259" t="s">
        <v>223</v>
      </c>
      <c r="D17" s="34">
        <v>26.267499999999998</v>
      </c>
    </row>
    <row r="18" spans="1:4" ht="27" x14ac:dyDescent="0.3">
      <c r="A18" s="250">
        <v>90686</v>
      </c>
      <c r="B18" s="258" t="s">
        <v>224</v>
      </c>
      <c r="C18" s="259" t="s">
        <v>214</v>
      </c>
      <c r="D18" s="34">
        <v>19.032299999999999</v>
      </c>
    </row>
    <row r="19" spans="1:4" ht="27" x14ac:dyDescent="0.3">
      <c r="A19" s="251">
        <v>90687</v>
      </c>
      <c r="B19" s="258" t="s">
        <v>225</v>
      </c>
      <c r="C19" s="253" t="s">
        <v>226</v>
      </c>
      <c r="D19" s="34">
        <v>9.4030999999999985</v>
      </c>
    </row>
    <row r="20" spans="1:4" ht="27" x14ac:dyDescent="0.3">
      <c r="A20" s="250">
        <v>90688</v>
      </c>
      <c r="B20" s="258" t="s">
        <v>227</v>
      </c>
      <c r="C20" s="259" t="s">
        <v>216</v>
      </c>
      <c r="D20" s="34">
        <v>17.8353</v>
      </c>
    </row>
    <row r="21" spans="1:4" x14ac:dyDescent="0.3">
      <c r="A21" s="251">
        <v>90691</v>
      </c>
      <c r="B21" s="258" t="s">
        <v>228</v>
      </c>
      <c r="C21" s="253" t="s">
        <v>216</v>
      </c>
      <c r="D21" s="96">
        <v>80.058999999999997</v>
      </c>
    </row>
    <row r="22" spans="1:4" ht="27" x14ac:dyDescent="0.3">
      <c r="A22" s="251">
        <v>90714</v>
      </c>
      <c r="B22" s="258" t="s">
        <v>229</v>
      </c>
      <c r="C22" s="253" t="s">
        <v>216</v>
      </c>
      <c r="D22" s="96">
        <v>21.54</v>
      </c>
    </row>
    <row r="23" spans="1:4" ht="27" x14ac:dyDescent="0.3">
      <c r="A23" s="251">
        <v>90715</v>
      </c>
      <c r="B23" s="258" t="s">
        <v>230</v>
      </c>
      <c r="C23" s="253" t="s">
        <v>216</v>
      </c>
      <c r="D23" s="96">
        <v>30.097999999999999</v>
      </c>
    </row>
    <row r="24" spans="1:4" ht="27" x14ac:dyDescent="0.3">
      <c r="A24" s="251">
        <v>90732</v>
      </c>
      <c r="B24" s="258" t="s">
        <v>231</v>
      </c>
      <c r="C24" s="253" t="s">
        <v>216</v>
      </c>
      <c r="D24" s="96">
        <v>98.849000000000004</v>
      </c>
    </row>
    <row r="25" spans="1:4" ht="27" x14ac:dyDescent="0.3">
      <c r="A25" s="251">
        <v>90740</v>
      </c>
      <c r="B25" s="258" t="s">
        <v>234</v>
      </c>
      <c r="C25" s="253" t="s">
        <v>235</v>
      </c>
      <c r="D25" s="96">
        <v>126.59699999999999</v>
      </c>
    </row>
    <row r="26" spans="1:4" ht="27" x14ac:dyDescent="0.3">
      <c r="A26" s="251">
        <v>90743</v>
      </c>
      <c r="B26" s="258" t="s">
        <v>2399</v>
      </c>
      <c r="C26" s="253" t="s">
        <v>237</v>
      </c>
      <c r="D26" s="96">
        <v>26.135000000000002</v>
      </c>
    </row>
    <row r="27" spans="1:4" ht="27" x14ac:dyDescent="0.3">
      <c r="A27" s="251">
        <v>90744</v>
      </c>
      <c r="B27" s="258" t="s">
        <v>236</v>
      </c>
      <c r="C27" s="253" t="s">
        <v>237</v>
      </c>
      <c r="D27" s="96">
        <v>26.135000000000002</v>
      </c>
    </row>
    <row r="28" spans="1:4" ht="27" x14ac:dyDescent="0.3">
      <c r="A28" s="251">
        <v>90746</v>
      </c>
      <c r="B28" s="258" t="s">
        <v>238</v>
      </c>
      <c r="C28" s="253" t="s">
        <v>239</v>
      </c>
      <c r="D28" s="96">
        <v>63.298999999999999</v>
      </c>
    </row>
    <row r="29" spans="1:4" ht="27" x14ac:dyDescent="0.3">
      <c r="A29" s="251">
        <v>90747</v>
      </c>
      <c r="B29" s="258" t="s">
        <v>240</v>
      </c>
      <c r="C29" s="253" t="s">
        <v>235</v>
      </c>
      <c r="D29" s="96">
        <v>126.59699999999999</v>
      </c>
    </row>
    <row r="30" spans="1:4" ht="27" x14ac:dyDescent="0.3">
      <c r="A30" s="251" t="s">
        <v>1549</v>
      </c>
      <c r="B30" s="258" t="s">
        <v>1550</v>
      </c>
      <c r="C30" s="253" t="s">
        <v>1810</v>
      </c>
      <c r="D30" s="96">
        <v>0.23300000000000001</v>
      </c>
    </row>
    <row r="31" spans="1:4" ht="27" x14ac:dyDescent="0.3">
      <c r="A31" s="251" t="s">
        <v>242</v>
      </c>
      <c r="B31" s="258" t="s">
        <v>243</v>
      </c>
      <c r="C31" s="253" t="s">
        <v>204</v>
      </c>
      <c r="D31" s="96">
        <v>1.7509999999999999</v>
      </c>
    </row>
    <row r="32" spans="1:4" x14ac:dyDescent="0.3">
      <c r="A32" s="251" t="s">
        <v>244</v>
      </c>
      <c r="B32" s="258" t="s">
        <v>245</v>
      </c>
      <c r="C32" s="253" t="s">
        <v>204</v>
      </c>
      <c r="D32" s="96">
        <v>2.0830000000000002</v>
      </c>
    </row>
    <row r="33" spans="1:5" ht="27" x14ac:dyDescent="0.3">
      <c r="A33" s="251" t="s">
        <v>246</v>
      </c>
      <c r="B33" s="258" t="s">
        <v>247</v>
      </c>
      <c r="C33" s="253" t="s">
        <v>204</v>
      </c>
      <c r="D33" s="96">
        <v>2.0539999999999998</v>
      </c>
    </row>
    <row r="34" spans="1:5" ht="27" x14ac:dyDescent="0.3">
      <c r="A34" s="251" t="s">
        <v>248</v>
      </c>
      <c r="B34" s="258" t="s">
        <v>249</v>
      </c>
      <c r="C34" s="253" t="s">
        <v>204</v>
      </c>
      <c r="D34" s="96">
        <v>1.8640000000000001</v>
      </c>
    </row>
    <row r="35" spans="1:5" ht="27" x14ac:dyDescent="0.3">
      <c r="A35" s="265" t="s">
        <v>250</v>
      </c>
      <c r="B35" s="258" t="s">
        <v>251</v>
      </c>
      <c r="C35" s="255" t="s">
        <v>204</v>
      </c>
      <c r="D35" s="96">
        <v>13.943</v>
      </c>
    </row>
    <row r="36" spans="1:5" x14ac:dyDescent="0.3">
      <c r="A36" s="251" t="s">
        <v>252</v>
      </c>
      <c r="B36" s="258" t="s">
        <v>253</v>
      </c>
      <c r="C36" s="254" t="s">
        <v>254</v>
      </c>
      <c r="D36" s="96">
        <v>0.378</v>
      </c>
    </row>
    <row r="37" spans="1:5" ht="132" x14ac:dyDescent="0.3">
      <c r="A37" s="251" t="s">
        <v>258</v>
      </c>
      <c r="B37" s="258" t="s">
        <v>259</v>
      </c>
      <c r="C37" s="254" t="s">
        <v>260</v>
      </c>
      <c r="D37" s="34" t="s">
        <v>1551</v>
      </c>
      <c r="E37" s="348" t="s">
        <v>2637</v>
      </c>
    </row>
    <row r="38" spans="1:5" x14ac:dyDescent="0.3">
      <c r="A38" s="251" t="s">
        <v>261</v>
      </c>
      <c r="B38" s="258" t="s">
        <v>262</v>
      </c>
      <c r="C38" s="254" t="s">
        <v>199</v>
      </c>
      <c r="D38" s="96">
        <v>47.613</v>
      </c>
    </row>
    <row r="39" spans="1:5" x14ac:dyDescent="0.3">
      <c r="A39" s="251" t="s">
        <v>263</v>
      </c>
      <c r="B39" s="258" t="s">
        <v>264</v>
      </c>
      <c r="C39" s="253" t="s">
        <v>199</v>
      </c>
      <c r="D39" s="96">
        <v>1235.4670000000001</v>
      </c>
    </row>
    <row r="40" spans="1:5" ht="27" x14ac:dyDescent="0.3">
      <c r="A40" s="251" t="s">
        <v>265</v>
      </c>
      <c r="B40" s="258" t="s">
        <v>266</v>
      </c>
      <c r="C40" s="253" t="s">
        <v>257</v>
      </c>
      <c r="D40" s="96">
        <v>1.26</v>
      </c>
    </row>
    <row r="41" spans="1:5" x14ac:dyDescent="0.3">
      <c r="A41" s="251" t="s">
        <v>267</v>
      </c>
      <c r="B41" s="258" t="s">
        <v>268</v>
      </c>
      <c r="C41" s="253" t="s">
        <v>200</v>
      </c>
      <c r="D41" s="96">
        <v>7.5999999999999998E-2</v>
      </c>
    </row>
    <row r="42" spans="1:5" x14ac:dyDescent="0.3">
      <c r="A42" s="251" t="s">
        <v>269</v>
      </c>
      <c r="B42" s="258" t="s">
        <v>270</v>
      </c>
      <c r="C42" s="253" t="s">
        <v>198</v>
      </c>
      <c r="D42" s="96">
        <v>0.58799999999999997</v>
      </c>
    </row>
    <row r="43" spans="1:5" ht="27" x14ac:dyDescent="0.3">
      <c r="A43" s="251" t="s">
        <v>271</v>
      </c>
      <c r="B43" s="258" t="s">
        <v>272</v>
      </c>
      <c r="C43" s="253" t="s">
        <v>273</v>
      </c>
      <c r="D43" s="96">
        <v>0.29499999999999998</v>
      </c>
    </row>
    <row r="44" spans="1:5" x14ac:dyDescent="0.3">
      <c r="A44" s="251" t="s">
        <v>274</v>
      </c>
      <c r="B44" s="258" t="s">
        <v>275</v>
      </c>
      <c r="C44" s="253" t="s">
        <v>198</v>
      </c>
      <c r="D44" s="266">
        <v>978.09400000000005</v>
      </c>
    </row>
    <row r="45" spans="1:5" ht="27" x14ac:dyDescent="0.3">
      <c r="A45" s="251" t="s">
        <v>276</v>
      </c>
      <c r="B45" s="258" t="s">
        <v>277</v>
      </c>
      <c r="C45" s="253" t="s">
        <v>198</v>
      </c>
      <c r="D45" s="96">
        <v>170.989</v>
      </c>
    </row>
    <row r="46" spans="1:5" ht="27" x14ac:dyDescent="0.3">
      <c r="A46" s="250" t="s">
        <v>280</v>
      </c>
      <c r="B46" s="258" t="s">
        <v>281</v>
      </c>
      <c r="C46" s="259" t="s">
        <v>198</v>
      </c>
      <c r="D46" s="96">
        <v>1781.9849999999999</v>
      </c>
    </row>
    <row r="47" spans="1:5" x14ac:dyDescent="0.3">
      <c r="A47" s="251" t="s">
        <v>282</v>
      </c>
      <c r="B47" s="258" t="s">
        <v>283</v>
      </c>
      <c r="C47" s="253" t="s">
        <v>284</v>
      </c>
      <c r="D47" s="96">
        <v>1034.125</v>
      </c>
    </row>
    <row r="48" spans="1:5" x14ac:dyDescent="0.3">
      <c r="A48" s="251" t="s">
        <v>285</v>
      </c>
      <c r="B48" s="258" t="s">
        <v>286</v>
      </c>
      <c r="C48" s="253" t="s">
        <v>199</v>
      </c>
      <c r="D48" s="96">
        <v>159.73699999999999</v>
      </c>
    </row>
    <row r="49" spans="1:4" ht="27" x14ac:dyDescent="0.3">
      <c r="A49" s="251" t="s">
        <v>287</v>
      </c>
      <c r="B49" s="258" t="s">
        <v>288</v>
      </c>
      <c r="C49" s="253" t="s">
        <v>199</v>
      </c>
      <c r="D49" s="96">
        <v>4.9429999999999996</v>
      </c>
    </row>
    <row r="50" spans="1:4" x14ac:dyDescent="0.3">
      <c r="A50" s="251" t="s">
        <v>289</v>
      </c>
      <c r="B50" s="258" t="s">
        <v>290</v>
      </c>
      <c r="C50" s="253" t="s">
        <v>199</v>
      </c>
      <c r="D50" s="96">
        <v>4.6319999999999997</v>
      </c>
    </row>
    <row r="51" spans="1:4" ht="27" x14ac:dyDescent="0.3">
      <c r="A51" s="251" t="s">
        <v>291</v>
      </c>
      <c r="B51" s="258" t="s">
        <v>292</v>
      </c>
      <c r="C51" s="253" t="s">
        <v>257</v>
      </c>
      <c r="D51" s="96">
        <v>1.8029999999999999</v>
      </c>
    </row>
    <row r="52" spans="1:4" ht="27" x14ac:dyDescent="0.3">
      <c r="A52" s="251" t="s">
        <v>293</v>
      </c>
      <c r="B52" s="258" t="s">
        <v>294</v>
      </c>
      <c r="C52" s="253" t="s">
        <v>295</v>
      </c>
      <c r="D52" s="96">
        <v>6.694</v>
      </c>
    </row>
    <row r="53" spans="1:4" x14ac:dyDescent="0.3">
      <c r="A53" s="251" t="s">
        <v>296</v>
      </c>
      <c r="B53" s="258" t="s">
        <v>297</v>
      </c>
      <c r="C53" s="253" t="s">
        <v>209</v>
      </c>
      <c r="D53" s="96">
        <v>32.585000000000001</v>
      </c>
    </row>
    <row r="54" spans="1:4" ht="27" x14ac:dyDescent="0.3">
      <c r="A54" s="251" t="s">
        <v>298</v>
      </c>
      <c r="B54" s="258" t="s">
        <v>299</v>
      </c>
      <c r="C54" s="253" t="s">
        <v>199</v>
      </c>
      <c r="D54" s="96">
        <v>13.081</v>
      </c>
    </row>
    <row r="55" spans="1:4" ht="27" x14ac:dyDescent="0.3">
      <c r="A55" s="251" t="s">
        <v>300</v>
      </c>
      <c r="B55" s="258" t="s">
        <v>301</v>
      </c>
      <c r="C55" s="253" t="s">
        <v>199</v>
      </c>
      <c r="D55" s="96">
        <v>20.75</v>
      </c>
    </row>
    <row r="56" spans="1:4" ht="27" x14ac:dyDescent="0.3">
      <c r="A56" s="251" t="s">
        <v>302</v>
      </c>
      <c r="B56" s="258" t="s">
        <v>303</v>
      </c>
      <c r="C56" s="253" t="s">
        <v>284</v>
      </c>
      <c r="D56" s="96">
        <v>1.1519999999999999</v>
      </c>
    </row>
    <row r="57" spans="1:4" ht="27" x14ac:dyDescent="0.3">
      <c r="A57" s="251" t="s">
        <v>304</v>
      </c>
      <c r="B57" s="258" t="s">
        <v>2400</v>
      </c>
      <c r="C57" s="253" t="s">
        <v>306</v>
      </c>
      <c r="D57" s="96">
        <v>3.6960000000000002</v>
      </c>
    </row>
    <row r="58" spans="1:4" ht="27" x14ac:dyDescent="0.3">
      <c r="A58" s="251" t="s">
        <v>307</v>
      </c>
      <c r="B58" s="258" t="s">
        <v>308</v>
      </c>
      <c r="C58" s="253" t="s">
        <v>198</v>
      </c>
      <c r="D58" s="96">
        <v>0.52900000000000003</v>
      </c>
    </row>
    <row r="59" spans="1:4" ht="27" x14ac:dyDescent="0.3">
      <c r="A59" s="251" t="s">
        <v>309</v>
      </c>
      <c r="B59" s="258" t="s">
        <v>310</v>
      </c>
      <c r="C59" s="253" t="s">
        <v>311</v>
      </c>
      <c r="D59" s="96">
        <v>3.2949999999999999</v>
      </c>
    </row>
    <row r="60" spans="1:4" ht="27" x14ac:dyDescent="0.3">
      <c r="A60" s="251" t="s">
        <v>312</v>
      </c>
      <c r="B60" s="258" t="s">
        <v>313</v>
      </c>
      <c r="C60" s="253" t="s">
        <v>198</v>
      </c>
      <c r="D60" s="96">
        <v>4.7869999999999999</v>
      </c>
    </row>
    <row r="61" spans="1:4" x14ac:dyDescent="0.3">
      <c r="A61" s="251" t="s">
        <v>314</v>
      </c>
      <c r="B61" s="258" t="s">
        <v>315</v>
      </c>
      <c r="C61" s="253" t="s">
        <v>284</v>
      </c>
      <c r="D61" s="96">
        <v>3.6030000000000002</v>
      </c>
    </row>
    <row r="62" spans="1:4" ht="27" x14ac:dyDescent="0.3">
      <c r="A62" s="251" t="s">
        <v>316</v>
      </c>
      <c r="B62" s="258" t="s">
        <v>317</v>
      </c>
      <c r="C62" s="253" t="s">
        <v>318</v>
      </c>
      <c r="D62" s="96">
        <v>5.5E-2</v>
      </c>
    </row>
    <row r="63" spans="1:4" ht="27" x14ac:dyDescent="0.3">
      <c r="A63" s="251" t="s">
        <v>319</v>
      </c>
      <c r="B63" s="258" t="s">
        <v>320</v>
      </c>
      <c r="C63" s="253" t="s">
        <v>257</v>
      </c>
      <c r="D63" s="96">
        <v>47.284999999999997</v>
      </c>
    </row>
    <row r="64" spans="1:4" ht="27" x14ac:dyDescent="0.3">
      <c r="A64" s="251" t="s">
        <v>321</v>
      </c>
      <c r="B64" s="258" t="s">
        <v>322</v>
      </c>
      <c r="C64" s="253" t="s">
        <v>199</v>
      </c>
      <c r="D64" s="96">
        <v>168.005</v>
      </c>
    </row>
    <row r="65" spans="1:4" ht="27" x14ac:dyDescent="0.3">
      <c r="A65" s="251" t="s">
        <v>323</v>
      </c>
      <c r="B65" s="258" t="s">
        <v>324</v>
      </c>
      <c r="C65" s="253" t="s">
        <v>325</v>
      </c>
      <c r="D65" s="96">
        <v>73.206000000000003</v>
      </c>
    </row>
    <row r="66" spans="1:4" x14ac:dyDescent="0.3">
      <c r="A66" s="251" t="s">
        <v>326</v>
      </c>
      <c r="B66" s="258" t="s">
        <v>327</v>
      </c>
      <c r="C66" s="253" t="s">
        <v>311</v>
      </c>
      <c r="D66" s="96">
        <v>3423.973</v>
      </c>
    </row>
    <row r="67" spans="1:4" x14ac:dyDescent="0.3">
      <c r="A67" s="251" t="s">
        <v>328</v>
      </c>
      <c r="B67" s="258" t="s">
        <v>329</v>
      </c>
      <c r="C67" s="253" t="s">
        <v>198</v>
      </c>
      <c r="D67" s="96">
        <v>3.9089999999999998</v>
      </c>
    </row>
    <row r="68" spans="1:4" x14ac:dyDescent="0.3">
      <c r="A68" s="265" t="s">
        <v>330</v>
      </c>
      <c r="B68" s="258" t="s">
        <v>331</v>
      </c>
      <c r="C68" s="255" t="s">
        <v>199</v>
      </c>
      <c r="D68" s="96">
        <v>41.981999999999999</v>
      </c>
    </row>
    <row r="69" spans="1:4" ht="27" x14ac:dyDescent="0.3">
      <c r="A69" s="251" t="s">
        <v>332</v>
      </c>
      <c r="B69" s="258" t="s">
        <v>333</v>
      </c>
      <c r="C69" s="253" t="s">
        <v>311</v>
      </c>
      <c r="D69" s="96">
        <v>74.781999999999996</v>
      </c>
    </row>
    <row r="70" spans="1:4" ht="27" x14ac:dyDescent="0.3">
      <c r="A70" s="251" t="s">
        <v>334</v>
      </c>
      <c r="B70" s="258" t="s">
        <v>335</v>
      </c>
      <c r="C70" s="253" t="s">
        <v>198</v>
      </c>
      <c r="D70" s="96">
        <v>24.219000000000001</v>
      </c>
    </row>
    <row r="71" spans="1:4" ht="40.200000000000003" x14ac:dyDescent="0.3">
      <c r="A71" s="251" t="s">
        <v>338</v>
      </c>
      <c r="B71" s="258" t="s">
        <v>339</v>
      </c>
      <c r="C71" s="253" t="s">
        <v>340</v>
      </c>
      <c r="D71" s="96">
        <v>9.3030000000000008</v>
      </c>
    </row>
    <row r="72" spans="1:4" ht="27" x14ac:dyDescent="0.3">
      <c r="A72" s="251" t="s">
        <v>341</v>
      </c>
      <c r="B72" s="258" t="s">
        <v>342</v>
      </c>
      <c r="C72" s="253" t="s">
        <v>340</v>
      </c>
      <c r="D72" s="96">
        <v>11.45</v>
      </c>
    </row>
    <row r="73" spans="1:4" ht="27" x14ac:dyDescent="0.3">
      <c r="A73" s="251" t="s">
        <v>345</v>
      </c>
      <c r="B73" s="258" t="s">
        <v>346</v>
      </c>
      <c r="C73" s="253" t="s">
        <v>347</v>
      </c>
      <c r="D73" s="96">
        <v>1274.037</v>
      </c>
    </row>
    <row r="74" spans="1:4" x14ac:dyDescent="0.3">
      <c r="A74" s="251" t="s">
        <v>348</v>
      </c>
      <c r="B74" s="258" t="s">
        <v>349</v>
      </c>
      <c r="C74" s="253" t="s">
        <v>198</v>
      </c>
      <c r="D74" s="96">
        <v>1.5069999999999999</v>
      </c>
    </row>
    <row r="75" spans="1:4" ht="27" x14ac:dyDescent="0.3">
      <c r="A75" s="251" t="s">
        <v>352</v>
      </c>
      <c r="B75" s="258" t="s">
        <v>353</v>
      </c>
      <c r="C75" s="253" t="s">
        <v>354</v>
      </c>
      <c r="D75" s="96">
        <v>5.9880000000000004</v>
      </c>
    </row>
    <row r="76" spans="1:4" x14ac:dyDescent="0.3">
      <c r="A76" s="100" t="s">
        <v>355</v>
      </c>
      <c r="B76" s="258" t="s">
        <v>356</v>
      </c>
      <c r="C76" s="253" t="s">
        <v>357</v>
      </c>
      <c r="D76" s="96">
        <v>7.9530000000000003</v>
      </c>
    </row>
    <row r="77" spans="1:4" ht="27" x14ac:dyDescent="0.3">
      <c r="A77" s="251" t="s">
        <v>358</v>
      </c>
      <c r="B77" s="258" t="s">
        <v>359</v>
      </c>
      <c r="C77" s="253" t="s">
        <v>360</v>
      </c>
      <c r="D77" s="96">
        <v>11.911</v>
      </c>
    </row>
    <row r="78" spans="1:4" ht="27" x14ac:dyDescent="0.3">
      <c r="A78" s="251" t="s">
        <v>361</v>
      </c>
      <c r="B78" s="258" t="s">
        <v>362</v>
      </c>
      <c r="C78" s="255" t="s">
        <v>354</v>
      </c>
      <c r="D78" s="96">
        <v>5.08</v>
      </c>
    </row>
    <row r="79" spans="1:4" ht="27" x14ac:dyDescent="0.3">
      <c r="A79" s="251" t="s">
        <v>363</v>
      </c>
      <c r="B79" s="258" t="s">
        <v>364</v>
      </c>
      <c r="C79" s="253" t="s">
        <v>273</v>
      </c>
      <c r="D79" s="96">
        <v>3.5150000000000001</v>
      </c>
    </row>
    <row r="80" spans="1:4" x14ac:dyDescent="0.3">
      <c r="A80" s="251" t="s">
        <v>365</v>
      </c>
      <c r="B80" s="258" t="s">
        <v>366</v>
      </c>
      <c r="C80" s="253" t="s">
        <v>198</v>
      </c>
      <c r="D80" s="96">
        <v>35.854999999999997</v>
      </c>
    </row>
    <row r="81" spans="1:4" ht="27" x14ac:dyDescent="0.3">
      <c r="A81" s="251" t="s">
        <v>367</v>
      </c>
      <c r="B81" s="258" t="s">
        <v>368</v>
      </c>
      <c r="C81" s="253" t="s">
        <v>198</v>
      </c>
      <c r="D81" s="96">
        <v>2.7069999999999999</v>
      </c>
    </row>
    <row r="82" spans="1:4" ht="27" x14ac:dyDescent="0.3">
      <c r="A82" s="251" t="s">
        <v>372</v>
      </c>
      <c r="B82" s="258" t="s">
        <v>373</v>
      </c>
      <c r="C82" s="253" t="s">
        <v>371</v>
      </c>
      <c r="D82" s="96">
        <v>48.902000000000001</v>
      </c>
    </row>
    <row r="83" spans="1:4" ht="27" x14ac:dyDescent="0.3">
      <c r="A83" s="251" t="s">
        <v>374</v>
      </c>
      <c r="B83" s="258" t="s">
        <v>375</v>
      </c>
      <c r="C83" s="255" t="s">
        <v>371</v>
      </c>
      <c r="D83" s="96">
        <v>56.417999999999999</v>
      </c>
    </row>
    <row r="84" spans="1:4" ht="27" x14ac:dyDescent="0.3">
      <c r="A84" s="251" t="s">
        <v>376</v>
      </c>
      <c r="B84" s="258" t="s">
        <v>377</v>
      </c>
      <c r="C84" s="253" t="s">
        <v>378</v>
      </c>
      <c r="D84" s="96">
        <v>5594.4219999999996</v>
      </c>
    </row>
    <row r="85" spans="1:4" ht="27" x14ac:dyDescent="0.3">
      <c r="A85" s="251" t="s">
        <v>379</v>
      </c>
      <c r="B85" s="258" t="s">
        <v>380</v>
      </c>
      <c r="C85" s="253" t="s">
        <v>381</v>
      </c>
      <c r="D85" s="96">
        <v>2.7850000000000001</v>
      </c>
    </row>
    <row r="86" spans="1:4" ht="27" x14ac:dyDescent="0.3">
      <c r="A86" s="251" t="s">
        <v>382</v>
      </c>
      <c r="B86" s="258" t="s">
        <v>383</v>
      </c>
      <c r="C86" s="253" t="s">
        <v>384</v>
      </c>
      <c r="D86" s="96">
        <v>2282.9850000000001</v>
      </c>
    </row>
    <row r="87" spans="1:4" ht="27" x14ac:dyDescent="0.3">
      <c r="A87" s="251" t="s">
        <v>385</v>
      </c>
      <c r="B87" s="258" t="s">
        <v>386</v>
      </c>
      <c r="C87" s="253" t="s">
        <v>387</v>
      </c>
      <c r="D87" s="96">
        <v>0.625</v>
      </c>
    </row>
    <row r="88" spans="1:4" ht="27" x14ac:dyDescent="0.3">
      <c r="A88" s="251" t="s">
        <v>388</v>
      </c>
      <c r="B88" s="258" t="s">
        <v>389</v>
      </c>
      <c r="C88" s="253" t="s">
        <v>200</v>
      </c>
      <c r="D88" s="96">
        <v>11.984</v>
      </c>
    </row>
    <row r="89" spans="1:4" ht="27" x14ac:dyDescent="0.3">
      <c r="A89" s="251" t="s">
        <v>390</v>
      </c>
      <c r="B89" s="258" t="s">
        <v>391</v>
      </c>
      <c r="C89" s="253" t="s">
        <v>198</v>
      </c>
      <c r="D89" s="96">
        <v>92.506</v>
      </c>
    </row>
    <row r="90" spans="1:4" ht="27" x14ac:dyDescent="0.3">
      <c r="A90" s="251" t="s">
        <v>392</v>
      </c>
      <c r="B90" s="258" t="s">
        <v>393</v>
      </c>
      <c r="C90" s="253" t="s">
        <v>209</v>
      </c>
      <c r="D90" s="96">
        <v>2.871</v>
      </c>
    </row>
    <row r="91" spans="1:4" ht="27" x14ac:dyDescent="0.3">
      <c r="A91" s="251" t="s">
        <v>394</v>
      </c>
      <c r="B91" s="258" t="s">
        <v>395</v>
      </c>
      <c r="C91" s="253" t="s">
        <v>396</v>
      </c>
      <c r="D91" s="96">
        <v>0.70399999999999996</v>
      </c>
    </row>
    <row r="92" spans="1:4" ht="27" x14ac:dyDescent="0.3">
      <c r="A92" s="251" t="s">
        <v>397</v>
      </c>
      <c r="B92" s="258" t="s">
        <v>398</v>
      </c>
      <c r="C92" s="253" t="s">
        <v>381</v>
      </c>
      <c r="D92" s="96">
        <v>2.4630000000000001</v>
      </c>
    </row>
    <row r="93" spans="1:4" ht="27" x14ac:dyDescent="0.3">
      <c r="A93" s="251" t="s">
        <v>399</v>
      </c>
      <c r="B93" s="258" t="s">
        <v>400</v>
      </c>
      <c r="C93" s="253" t="s">
        <v>284</v>
      </c>
      <c r="D93" s="96">
        <v>0.876</v>
      </c>
    </row>
    <row r="94" spans="1:4" ht="27" x14ac:dyDescent="0.3">
      <c r="A94" s="251" t="s">
        <v>401</v>
      </c>
      <c r="B94" s="258" t="s">
        <v>402</v>
      </c>
      <c r="C94" s="253" t="s">
        <v>284</v>
      </c>
      <c r="D94" s="96">
        <v>2.7069999999999999</v>
      </c>
    </row>
    <row r="95" spans="1:4" ht="27" x14ac:dyDescent="0.3">
      <c r="A95" s="251" t="s">
        <v>403</v>
      </c>
      <c r="B95" s="258" t="s">
        <v>404</v>
      </c>
      <c r="C95" s="253" t="s">
        <v>405</v>
      </c>
      <c r="D95" s="96">
        <v>5.0990000000000002</v>
      </c>
    </row>
    <row r="96" spans="1:4" ht="27" x14ac:dyDescent="0.3">
      <c r="A96" s="251" t="s">
        <v>409</v>
      </c>
      <c r="B96" s="258" t="s">
        <v>410</v>
      </c>
      <c r="C96" s="253" t="s">
        <v>295</v>
      </c>
      <c r="D96" s="96">
        <v>0.57299999999999995</v>
      </c>
    </row>
    <row r="97" spans="1:4" ht="27" x14ac:dyDescent="0.3">
      <c r="A97" s="251" t="s">
        <v>411</v>
      </c>
      <c r="B97" s="258" t="s">
        <v>412</v>
      </c>
      <c r="C97" s="253" t="s">
        <v>413</v>
      </c>
      <c r="D97" s="96">
        <v>3.101</v>
      </c>
    </row>
    <row r="98" spans="1:4" ht="27" x14ac:dyDescent="0.3">
      <c r="A98" s="251" t="s">
        <v>416</v>
      </c>
      <c r="B98" s="258" t="s">
        <v>417</v>
      </c>
      <c r="C98" s="253" t="s">
        <v>418</v>
      </c>
      <c r="D98" s="96">
        <v>7.3380000000000001</v>
      </c>
    </row>
    <row r="99" spans="1:4" ht="27" x14ac:dyDescent="0.3">
      <c r="A99" s="251" t="s">
        <v>419</v>
      </c>
      <c r="B99" s="258" t="s">
        <v>420</v>
      </c>
      <c r="C99" s="253" t="s">
        <v>199</v>
      </c>
      <c r="D99" s="96">
        <v>2.6190000000000002</v>
      </c>
    </row>
    <row r="100" spans="1:4" ht="27" x14ac:dyDescent="0.3">
      <c r="A100" s="251" t="s">
        <v>421</v>
      </c>
      <c r="B100" s="258" t="s">
        <v>422</v>
      </c>
      <c r="C100" s="253" t="s">
        <v>284</v>
      </c>
      <c r="D100" s="96">
        <v>2.4969999999999999</v>
      </c>
    </row>
    <row r="101" spans="1:4" ht="27" x14ac:dyDescent="0.3">
      <c r="A101" s="100" t="s">
        <v>426</v>
      </c>
      <c r="B101" s="258" t="s">
        <v>427</v>
      </c>
      <c r="C101" s="253" t="s">
        <v>198</v>
      </c>
      <c r="D101" s="96">
        <v>7.7130000000000001</v>
      </c>
    </row>
    <row r="102" spans="1:4" ht="27" x14ac:dyDescent="0.3">
      <c r="A102" s="251" t="s">
        <v>428</v>
      </c>
      <c r="B102" s="258" t="s">
        <v>429</v>
      </c>
      <c r="C102" s="253" t="s">
        <v>405</v>
      </c>
      <c r="D102" s="96">
        <v>39.875</v>
      </c>
    </row>
    <row r="103" spans="1:4" ht="27" x14ac:dyDescent="0.3">
      <c r="A103" s="251" t="s">
        <v>430</v>
      </c>
      <c r="B103" s="258" t="s">
        <v>431</v>
      </c>
      <c r="C103" s="253" t="s">
        <v>432</v>
      </c>
      <c r="D103" s="96">
        <v>21.213999999999999</v>
      </c>
    </row>
    <row r="104" spans="1:4" ht="27" x14ac:dyDescent="0.3">
      <c r="A104" s="251" t="s">
        <v>433</v>
      </c>
      <c r="B104" s="258" t="s">
        <v>434</v>
      </c>
      <c r="C104" s="253" t="s">
        <v>198</v>
      </c>
      <c r="D104" s="96">
        <v>12.989000000000001</v>
      </c>
    </row>
    <row r="105" spans="1:4" x14ac:dyDescent="0.3">
      <c r="A105" s="251" t="s">
        <v>435</v>
      </c>
      <c r="B105" s="258" t="s">
        <v>436</v>
      </c>
      <c r="C105" s="253" t="s">
        <v>437</v>
      </c>
      <c r="D105" s="96">
        <v>488.40300000000002</v>
      </c>
    </row>
    <row r="106" spans="1:4" ht="27" x14ac:dyDescent="0.3">
      <c r="A106" s="251" t="s">
        <v>438</v>
      </c>
      <c r="B106" s="258" t="s">
        <v>439</v>
      </c>
      <c r="C106" s="253" t="s">
        <v>295</v>
      </c>
      <c r="D106" s="96">
        <v>4.5419999999999998</v>
      </c>
    </row>
    <row r="107" spans="1:4" x14ac:dyDescent="0.3">
      <c r="A107" s="251" t="s">
        <v>440</v>
      </c>
      <c r="B107" s="258" t="s">
        <v>441</v>
      </c>
      <c r="C107" s="253" t="s">
        <v>442</v>
      </c>
      <c r="D107" s="96">
        <v>1.3859999999999999</v>
      </c>
    </row>
    <row r="108" spans="1:4" ht="27" x14ac:dyDescent="0.3">
      <c r="A108" s="251" t="s">
        <v>443</v>
      </c>
      <c r="B108" s="258" t="s">
        <v>444</v>
      </c>
      <c r="C108" s="253" t="s">
        <v>445</v>
      </c>
      <c r="D108" s="96">
        <v>13.112</v>
      </c>
    </row>
    <row r="109" spans="1:4" ht="27" x14ac:dyDescent="0.3">
      <c r="A109" s="251" t="s">
        <v>446</v>
      </c>
      <c r="B109" s="258" t="s">
        <v>447</v>
      </c>
      <c r="C109" s="253" t="s">
        <v>318</v>
      </c>
      <c r="D109" s="96">
        <v>40.658000000000001</v>
      </c>
    </row>
    <row r="110" spans="1:4" ht="27" x14ac:dyDescent="0.3">
      <c r="A110" s="251" t="s">
        <v>448</v>
      </c>
      <c r="B110" s="258" t="s">
        <v>449</v>
      </c>
      <c r="C110" s="253" t="s">
        <v>199</v>
      </c>
      <c r="D110" s="96">
        <v>11.978999999999999</v>
      </c>
    </row>
    <row r="111" spans="1:4" ht="27" x14ac:dyDescent="0.3">
      <c r="A111" s="251" t="s">
        <v>450</v>
      </c>
      <c r="B111" s="258" t="s">
        <v>451</v>
      </c>
      <c r="C111" s="253" t="s">
        <v>452</v>
      </c>
      <c r="D111" s="96">
        <v>8.2490000000000006</v>
      </c>
    </row>
    <row r="112" spans="1:4" ht="27" x14ac:dyDescent="0.3">
      <c r="A112" s="251" t="s">
        <v>453</v>
      </c>
      <c r="B112" s="258" t="s">
        <v>454</v>
      </c>
      <c r="C112" s="253" t="s">
        <v>455</v>
      </c>
      <c r="D112" s="96">
        <v>3703.3789999999999</v>
      </c>
    </row>
    <row r="113" spans="1:4" ht="27" x14ac:dyDescent="0.3">
      <c r="A113" s="251" t="s">
        <v>456</v>
      </c>
      <c r="B113" s="258" t="s">
        <v>2401</v>
      </c>
      <c r="C113" s="253" t="s">
        <v>458</v>
      </c>
      <c r="D113" s="96">
        <v>40.600999999999999</v>
      </c>
    </row>
    <row r="114" spans="1:4" ht="27" x14ac:dyDescent="0.3">
      <c r="A114" s="265" t="s">
        <v>459</v>
      </c>
      <c r="B114" s="258" t="s">
        <v>460</v>
      </c>
      <c r="C114" s="253" t="s">
        <v>461</v>
      </c>
      <c r="D114" s="96">
        <v>2870.7240000000002</v>
      </c>
    </row>
    <row r="115" spans="1:4" ht="27" x14ac:dyDescent="0.3">
      <c r="A115" s="251" t="s">
        <v>462</v>
      </c>
      <c r="B115" s="258" t="s">
        <v>463</v>
      </c>
      <c r="C115" s="253" t="s">
        <v>464</v>
      </c>
      <c r="D115" s="96">
        <v>1128.671</v>
      </c>
    </row>
    <row r="116" spans="1:4" ht="27" x14ac:dyDescent="0.3">
      <c r="A116" s="250" t="s">
        <v>465</v>
      </c>
      <c r="B116" s="258" t="s">
        <v>466</v>
      </c>
      <c r="C116" s="259" t="s">
        <v>200</v>
      </c>
      <c r="D116" s="96">
        <v>14.566000000000001</v>
      </c>
    </row>
    <row r="117" spans="1:4" ht="27" x14ac:dyDescent="0.3">
      <c r="A117" s="251" t="s">
        <v>467</v>
      </c>
      <c r="B117" s="258" t="s">
        <v>468</v>
      </c>
      <c r="C117" s="253" t="s">
        <v>198</v>
      </c>
      <c r="D117" s="96">
        <v>0.66500000000000004</v>
      </c>
    </row>
    <row r="118" spans="1:4" ht="27" x14ac:dyDescent="0.3">
      <c r="A118" s="251" t="s">
        <v>469</v>
      </c>
      <c r="B118" s="258" t="s">
        <v>470</v>
      </c>
      <c r="C118" s="253" t="s">
        <v>452</v>
      </c>
      <c r="D118" s="96">
        <v>3.9020000000000001</v>
      </c>
    </row>
    <row r="119" spans="1:4" ht="27" x14ac:dyDescent="0.3">
      <c r="A119" s="251" t="s">
        <v>471</v>
      </c>
      <c r="B119" s="258" t="s">
        <v>472</v>
      </c>
      <c r="C119" s="253" t="s">
        <v>452</v>
      </c>
      <c r="D119" s="96">
        <v>3.9020000000000001</v>
      </c>
    </row>
    <row r="120" spans="1:4" ht="27" x14ac:dyDescent="0.3">
      <c r="A120" s="251" t="s">
        <v>473</v>
      </c>
      <c r="B120" s="258" t="s">
        <v>474</v>
      </c>
      <c r="C120" s="253" t="s">
        <v>432</v>
      </c>
      <c r="D120" s="96">
        <v>13.757999999999999</v>
      </c>
    </row>
    <row r="121" spans="1:4" ht="27" x14ac:dyDescent="0.3">
      <c r="A121" s="251" t="s">
        <v>475</v>
      </c>
      <c r="B121" s="258" t="s">
        <v>476</v>
      </c>
      <c r="C121" s="260" t="s">
        <v>452</v>
      </c>
      <c r="D121" s="96">
        <v>1.3879999999999999</v>
      </c>
    </row>
    <row r="122" spans="1:4" ht="27" x14ac:dyDescent="0.3">
      <c r="A122" s="251" t="s">
        <v>477</v>
      </c>
      <c r="B122" s="258" t="s">
        <v>478</v>
      </c>
      <c r="C122" s="260" t="s">
        <v>452</v>
      </c>
      <c r="D122" s="96">
        <v>1.3879999999999999</v>
      </c>
    </row>
    <row r="123" spans="1:4" x14ac:dyDescent="0.3">
      <c r="A123" s="251" t="s">
        <v>479</v>
      </c>
      <c r="B123" s="258" t="s">
        <v>480</v>
      </c>
      <c r="C123" s="253" t="s">
        <v>198</v>
      </c>
      <c r="D123" s="96">
        <v>19.353000000000002</v>
      </c>
    </row>
    <row r="124" spans="1:4" ht="27" x14ac:dyDescent="0.3">
      <c r="A124" s="251" t="s">
        <v>481</v>
      </c>
      <c r="B124" s="258" t="s">
        <v>482</v>
      </c>
      <c r="C124" s="253" t="s">
        <v>284</v>
      </c>
      <c r="D124" s="96">
        <v>8.5009999999999994</v>
      </c>
    </row>
    <row r="125" spans="1:4" ht="27" x14ac:dyDescent="0.3">
      <c r="A125" s="251" t="s">
        <v>483</v>
      </c>
      <c r="B125" s="258" t="s">
        <v>484</v>
      </c>
      <c r="C125" s="253" t="s">
        <v>198</v>
      </c>
      <c r="D125" s="96">
        <v>17.035</v>
      </c>
    </row>
    <row r="126" spans="1:4" ht="27" x14ac:dyDescent="0.3">
      <c r="A126" s="251" t="s">
        <v>485</v>
      </c>
      <c r="B126" s="258" t="s">
        <v>486</v>
      </c>
      <c r="C126" s="253" t="s">
        <v>200</v>
      </c>
      <c r="D126" s="96">
        <v>19.318000000000001</v>
      </c>
    </row>
    <row r="127" spans="1:4" ht="27" x14ac:dyDescent="0.3">
      <c r="A127" s="251" t="s">
        <v>487</v>
      </c>
      <c r="B127" s="258" t="s">
        <v>488</v>
      </c>
      <c r="C127" s="253" t="s">
        <v>311</v>
      </c>
      <c r="D127" s="96">
        <v>5.4020000000000001</v>
      </c>
    </row>
    <row r="128" spans="1:4" ht="27" x14ac:dyDescent="0.3">
      <c r="A128" s="251" t="s">
        <v>489</v>
      </c>
      <c r="B128" s="258" t="s">
        <v>490</v>
      </c>
      <c r="C128" s="253" t="s">
        <v>491</v>
      </c>
      <c r="D128" s="96">
        <v>6.0039999999999996</v>
      </c>
    </row>
    <row r="129" spans="1:4" ht="27" x14ac:dyDescent="0.3">
      <c r="A129" s="251" t="s">
        <v>492</v>
      </c>
      <c r="B129" s="258" t="s">
        <v>493</v>
      </c>
      <c r="C129" s="253" t="s">
        <v>494</v>
      </c>
      <c r="D129" s="96">
        <v>11.53</v>
      </c>
    </row>
    <row r="130" spans="1:4" ht="27" x14ac:dyDescent="0.3">
      <c r="A130" s="251" t="s">
        <v>495</v>
      </c>
      <c r="B130" s="258" t="s">
        <v>496</v>
      </c>
      <c r="C130" s="253" t="s">
        <v>198</v>
      </c>
      <c r="D130" s="96">
        <v>0.48199999999999998</v>
      </c>
    </row>
    <row r="131" spans="1:4" ht="27" x14ac:dyDescent="0.3">
      <c r="A131" s="251" t="s">
        <v>497</v>
      </c>
      <c r="B131" s="258" t="s">
        <v>498</v>
      </c>
      <c r="C131" s="253" t="s">
        <v>198</v>
      </c>
      <c r="D131" s="96">
        <v>2.5000000000000001E-2</v>
      </c>
    </row>
    <row r="132" spans="1:4" ht="27" x14ac:dyDescent="0.3">
      <c r="A132" s="251" t="s">
        <v>499</v>
      </c>
      <c r="B132" s="258" t="s">
        <v>500</v>
      </c>
      <c r="C132" s="253" t="s">
        <v>198</v>
      </c>
      <c r="D132" s="96">
        <v>0.12</v>
      </c>
    </row>
    <row r="133" spans="1:4" ht="40.200000000000003" x14ac:dyDescent="0.3">
      <c r="A133" s="251" t="s">
        <v>501</v>
      </c>
      <c r="B133" s="258" t="s">
        <v>502</v>
      </c>
      <c r="C133" s="253" t="s">
        <v>198</v>
      </c>
      <c r="D133" s="96">
        <v>83.007000000000005</v>
      </c>
    </row>
    <row r="134" spans="1:4" ht="27" x14ac:dyDescent="0.3">
      <c r="A134" s="251" t="s">
        <v>503</v>
      </c>
      <c r="B134" s="258" t="s">
        <v>504</v>
      </c>
      <c r="C134" s="253" t="s">
        <v>284</v>
      </c>
      <c r="D134" s="96">
        <v>21.882999999999999</v>
      </c>
    </row>
    <row r="135" spans="1:4" x14ac:dyDescent="0.3">
      <c r="A135" s="251" t="s">
        <v>505</v>
      </c>
      <c r="B135" s="258" t="s">
        <v>506</v>
      </c>
      <c r="C135" s="253" t="s">
        <v>396</v>
      </c>
      <c r="D135" s="96">
        <v>5.6159999999999997</v>
      </c>
    </row>
    <row r="136" spans="1:4" ht="27" x14ac:dyDescent="0.3">
      <c r="A136" s="251" t="s">
        <v>507</v>
      </c>
      <c r="B136" s="258" t="s">
        <v>508</v>
      </c>
      <c r="C136" s="253" t="s">
        <v>464</v>
      </c>
      <c r="D136" s="96">
        <v>3267.0259999999998</v>
      </c>
    </row>
    <row r="137" spans="1:4" ht="27" x14ac:dyDescent="0.3">
      <c r="A137" s="251" t="s">
        <v>509</v>
      </c>
      <c r="B137" s="258" t="s">
        <v>510</v>
      </c>
      <c r="C137" s="253" t="s">
        <v>209</v>
      </c>
      <c r="D137" s="96">
        <v>0.51900000000000002</v>
      </c>
    </row>
    <row r="138" spans="1:4" ht="27" x14ac:dyDescent="0.3">
      <c r="A138" s="251" t="s">
        <v>511</v>
      </c>
      <c r="B138" s="258" t="s">
        <v>512</v>
      </c>
      <c r="C138" s="253" t="s">
        <v>513</v>
      </c>
      <c r="D138" s="96">
        <v>2.08</v>
      </c>
    </row>
    <row r="139" spans="1:4" ht="27" x14ac:dyDescent="0.3">
      <c r="A139" s="251" t="s">
        <v>514</v>
      </c>
      <c r="B139" s="258" t="s">
        <v>515</v>
      </c>
      <c r="C139" s="253" t="s">
        <v>295</v>
      </c>
      <c r="D139" s="96">
        <v>184.66200000000001</v>
      </c>
    </row>
    <row r="140" spans="1:4" ht="27" x14ac:dyDescent="0.3">
      <c r="A140" s="251" t="s">
        <v>516</v>
      </c>
      <c r="B140" s="258" t="s">
        <v>517</v>
      </c>
      <c r="C140" s="253" t="s">
        <v>209</v>
      </c>
      <c r="D140" s="96">
        <v>0.59899999999999998</v>
      </c>
    </row>
    <row r="141" spans="1:4" ht="27" x14ac:dyDescent="0.3">
      <c r="A141" s="251" t="s">
        <v>518</v>
      </c>
      <c r="B141" s="258" t="s">
        <v>519</v>
      </c>
      <c r="C141" s="253" t="s">
        <v>284</v>
      </c>
      <c r="D141" s="96">
        <v>66.421999999999997</v>
      </c>
    </row>
    <row r="142" spans="1:4" ht="27" x14ac:dyDescent="0.3">
      <c r="A142" s="251" t="s">
        <v>520</v>
      </c>
      <c r="B142" s="258" t="s">
        <v>521</v>
      </c>
      <c r="C142" s="253" t="s">
        <v>522</v>
      </c>
      <c r="D142" s="96">
        <v>553.41899999999998</v>
      </c>
    </row>
    <row r="143" spans="1:4" x14ac:dyDescent="0.3">
      <c r="A143" s="251" t="s">
        <v>523</v>
      </c>
      <c r="B143" s="258" t="s">
        <v>524</v>
      </c>
      <c r="C143" s="253" t="s">
        <v>199</v>
      </c>
      <c r="D143" s="96">
        <v>19.254999999999999</v>
      </c>
    </row>
    <row r="144" spans="1:4" ht="27" x14ac:dyDescent="0.3">
      <c r="A144" s="251" t="s">
        <v>525</v>
      </c>
      <c r="B144" s="258" t="s">
        <v>526</v>
      </c>
      <c r="C144" s="253" t="s">
        <v>209</v>
      </c>
      <c r="D144" s="96">
        <v>7.4610000000000003</v>
      </c>
    </row>
    <row r="145" spans="1:4" ht="27" x14ac:dyDescent="0.3">
      <c r="A145" s="251" t="s">
        <v>527</v>
      </c>
      <c r="B145" s="258" t="s">
        <v>528</v>
      </c>
      <c r="C145" s="253" t="s">
        <v>199</v>
      </c>
      <c r="D145" s="96">
        <v>0.78100000000000003</v>
      </c>
    </row>
    <row r="146" spans="1:4" ht="27" x14ac:dyDescent="0.3">
      <c r="A146" s="251" t="s">
        <v>529</v>
      </c>
      <c r="B146" s="258" t="s">
        <v>530</v>
      </c>
      <c r="C146" s="253" t="s">
        <v>295</v>
      </c>
      <c r="D146" s="96">
        <v>6.0839999999999996</v>
      </c>
    </row>
    <row r="147" spans="1:4" x14ac:dyDescent="0.3">
      <c r="A147" s="251" t="s">
        <v>531</v>
      </c>
      <c r="B147" s="258" t="s">
        <v>532</v>
      </c>
      <c r="C147" s="253" t="s">
        <v>491</v>
      </c>
      <c r="D147" s="96">
        <v>0.64500000000000002</v>
      </c>
    </row>
    <row r="148" spans="1:4" x14ac:dyDescent="0.3">
      <c r="A148" s="251" t="s">
        <v>1811</v>
      </c>
      <c r="B148" s="258" t="s">
        <v>1812</v>
      </c>
      <c r="C148" s="253" t="s">
        <v>199</v>
      </c>
      <c r="D148" s="96">
        <v>0.64700000000000002</v>
      </c>
    </row>
    <row r="149" spans="1:4" ht="27" x14ac:dyDescent="0.3">
      <c r="A149" s="251" t="s">
        <v>533</v>
      </c>
      <c r="B149" s="258" t="s">
        <v>534</v>
      </c>
      <c r="C149" s="253" t="s">
        <v>452</v>
      </c>
      <c r="D149" s="96">
        <v>0.42699999999999999</v>
      </c>
    </row>
    <row r="150" spans="1:4" x14ac:dyDescent="0.3">
      <c r="A150" s="251" t="s">
        <v>535</v>
      </c>
      <c r="B150" s="258" t="s">
        <v>536</v>
      </c>
      <c r="C150" s="253" t="s">
        <v>198</v>
      </c>
      <c r="D150" s="96">
        <v>432.71100000000001</v>
      </c>
    </row>
    <row r="151" spans="1:4" ht="27" x14ac:dyDescent="0.3">
      <c r="A151" s="251" t="s">
        <v>537</v>
      </c>
      <c r="B151" s="258" t="s">
        <v>538</v>
      </c>
      <c r="C151" s="253" t="s">
        <v>199</v>
      </c>
      <c r="D151" s="96">
        <v>226.62799999999999</v>
      </c>
    </row>
    <row r="152" spans="1:4" ht="27" x14ac:dyDescent="0.3">
      <c r="A152" s="251" t="s">
        <v>543</v>
      </c>
      <c r="B152" s="258" t="s">
        <v>544</v>
      </c>
      <c r="C152" s="253" t="s">
        <v>396</v>
      </c>
      <c r="D152" s="96">
        <v>15.566000000000001</v>
      </c>
    </row>
    <row r="153" spans="1:4" x14ac:dyDescent="0.3">
      <c r="A153" s="251" t="s">
        <v>545</v>
      </c>
      <c r="B153" s="258" t="s">
        <v>546</v>
      </c>
      <c r="C153" s="253" t="s">
        <v>284</v>
      </c>
      <c r="D153" s="96">
        <v>52.34</v>
      </c>
    </row>
    <row r="154" spans="1:4" ht="40.200000000000003" x14ac:dyDescent="0.3">
      <c r="A154" s="251" t="s">
        <v>547</v>
      </c>
      <c r="B154" s="258" t="s">
        <v>548</v>
      </c>
      <c r="C154" s="253" t="s">
        <v>284</v>
      </c>
      <c r="D154" s="96">
        <v>62.433999999999997</v>
      </c>
    </row>
    <row r="155" spans="1:4" ht="27" x14ac:dyDescent="0.3">
      <c r="A155" s="251" t="s">
        <v>549</v>
      </c>
      <c r="B155" s="258" t="s">
        <v>550</v>
      </c>
      <c r="C155" s="253" t="s">
        <v>199</v>
      </c>
      <c r="D155" s="96">
        <v>7.3220000000000001</v>
      </c>
    </row>
    <row r="156" spans="1:4" ht="27" x14ac:dyDescent="0.3">
      <c r="A156" s="251" t="s">
        <v>551</v>
      </c>
      <c r="B156" s="258" t="s">
        <v>552</v>
      </c>
      <c r="C156" s="253" t="s">
        <v>553</v>
      </c>
      <c r="D156" s="96">
        <v>303.15899999999999</v>
      </c>
    </row>
    <row r="157" spans="1:4" ht="27" x14ac:dyDescent="0.3">
      <c r="A157" s="251" t="s">
        <v>554</v>
      </c>
      <c r="B157" s="258" t="s">
        <v>555</v>
      </c>
      <c r="C157" s="253" t="s">
        <v>257</v>
      </c>
      <c r="D157" s="96">
        <v>444.09899999999999</v>
      </c>
    </row>
    <row r="158" spans="1:4" ht="27" x14ac:dyDescent="0.3">
      <c r="A158" s="251" t="s">
        <v>556</v>
      </c>
      <c r="B158" s="258" t="s">
        <v>557</v>
      </c>
      <c r="C158" s="253" t="s">
        <v>198</v>
      </c>
      <c r="D158" s="96">
        <v>1.0680000000000001</v>
      </c>
    </row>
    <row r="159" spans="1:4" ht="27" x14ac:dyDescent="0.3">
      <c r="A159" s="251" t="s">
        <v>558</v>
      </c>
      <c r="B159" s="258" t="s">
        <v>559</v>
      </c>
      <c r="C159" s="253" t="s">
        <v>452</v>
      </c>
      <c r="D159" s="96">
        <v>1.008</v>
      </c>
    </row>
    <row r="160" spans="1:4" ht="27" x14ac:dyDescent="0.3">
      <c r="A160" s="251" t="s">
        <v>560</v>
      </c>
      <c r="B160" s="258" t="s">
        <v>561</v>
      </c>
      <c r="C160" s="253" t="s">
        <v>452</v>
      </c>
      <c r="D160" s="96">
        <v>0.64400000000000002</v>
      </c>
    </row>
    <row r="161" spans="1:4" x14ac:dyDescent="0.3">
      <c r="A161" s="251" t="s">
        <v>562</v>
      </c>
      <c r="B161" s="258" t="s">
        <v>563</v>
      </c>
      <c r="C161" s="253" t="s">
        <v>442</v>
      </c>
      <c r="D161" s="96">
        <v>4.6820000000000004</v>
      </c>
    </row>
    <row r="162" spans="1:4" ht="27" x14ac:dyDescent="0.3">
      <c r="A162" s="251" t="s">
        <v>564</v>
      </c>
      <c r="B162" s="258" t="s">
        <v>565</v>
      </c>
      <c r="C162" s="253" t="s">
        <v>198</v>
      </c>
      <c r="D162" s="96">
        <v>1.913</v>
      </c>
    </row>
    <row r="163" spans="1:4" x14ac:dyDescent="0.3">
      <c r="A163" s="251" t="s">
        <v>568</v>
      </c>
      <c r="B163" s="258" t="s">
        <v>569</v>
      </c>
      <c r="C163" s="253" t="s">
        <v>198</v>
      </c>
      <c r="D163" s="96">
        <v>373.80700000000002</v>
      </c>
    </row>
    <row r="164" spans="1:4" ht="27" x14ac:dyDescent="0.3">
      <c r="A164" s="251" t="s">
        <v>570</v>
      </c>
      <c r="B164" s="258" t="s">
        <v>571</v>
      </c>
      <c r="C164" s="253" t="s">
        <v>284</v>
      </c>
      <c r="D164" s="96">
        <v>38.603999999999999</v>
      </c>
    </row>
    <row r="165" spans="1:4" ht="27" x14ac:dyDescent="0.3">
      <c r="A165" s="251" t="s">
        <v>572</v>
      </c>
      <c r="B165" s="258" t="s">
        <v>573</v>
      </c>
      <c r="C165" s="253" t="s">
        <v>574</v>
      </c>
      <c r="D165" s="96">
        <v>36.365000000000002</v>
      </c>
    </row>
    <row r="166" spans="1:4" ht="27" x14ac:dyDescent="0.3">
      <c r="A166" s="250" t="s">
        <v>577</v>
      </c>
      <c r="B166" s="258" t="s">
        <v>578</v>
      </c>
      <c r="C166" s="259" t="s">
        <v>284</v>
      </c>
      <c r="D166" s="96">
        <v>38.31</v>
      </c>
    </row>
    <row r="167" spans="1:4" ht="27" x14ac:dyDescent="0.3">
      <c r="A167" s="251" t="s">
        <v>579</v>
      </c>
      <c r="B167" s="258" t="s">
        <v>580</v>
      </c>
      <c r="C167" s="253" t="s">
        <v>284</v>
      </c>
      <c r="D167" s="96">
        <v>46.691000000000003</v>
      </c>
    </row>
    <row r="168" spans="1:4" x14ac:dyDescent="0.3">
      <c r="A168" s="251" t="s">
        <v>581</v>
      </c>
      <c r="B168" s="258" t="s">
        <v>582</v>
      </c>
      <c r="C168" s="253" t="s">
        <v>257</v>
      </c>
      <c r="D168" s="96">
        <v>9.8290000000000006</v>
      </c>
    </row>
    <row r="169" spans="1:4" ht="27" x14ac:dyDescent="0.3">
      <c r="A169" s="251" t="s">
        <v>583</v>
      </c>
      <c r="B169" s="258" t="s">
        <v>584</v>
      </c>
      <c r="C169" s="253" t="s">
        <v>585</v>
      </c>
      <c r="D169" s="96">
        <v>363.65499999999997</v>
      </c>
    </row>
    <row r="170" spans="1:4" ht="27" x14ac:dyDescent="0.3">
      <c r="A170" s="251" t="s">
        <v>586</v>
      </c>
      <c r="B170" s="258" t="s">
        <v>587</v>
      </c>
      <c r="C170" s="253" t="s">
        <v>284</v>
      </c>
      <c r="D170" s="96">
        <v>38.411000000000001</v>
      </c>
    </row>
    <row r="171" spans="1:4" ht="27" x14ac:dyDescent="0.3">
      <c r="A171" s="251" t="s">
        <v>588</v>
      </c>
      <c r="B171" s="258" t="s">
        <v>589</v>
      </c>
      <c r="C171" s="253" t="s">
        <v>284</v>
      </c>
      <c r="D171" s="96">
        <v>32.942</v>
      </c>
    </row>
    <row r="172" spans="1:4" x14ac:dyDescent="0.3">
      <c r="A172" s="251" t="s">
        <v>590</v>
      </c>
      <c r="B172" s="258" t="s">
        <v>591</v>
      </c>
      <c r="C172" s="253" t="s">
        <v>284</v>
      </c>
      <c r="D172" s="96">
        <v>34.125</v>
      </c>
    </row>
    <row r="173" spans="1:4" ht="27" x14ac:dyDescent="0.3">
      <c r="A173" s="251" t="s">
        <v>592</v>
      </c>
      <c r="B173" s="258" t="s">
        <v>593</v>
      </c>
      <c r="C173" s="253" t="s">
        <v>284</v>
      </c>
      <c r="D173" s="96">
        <v>40.192999999999998</v>
      </c>
    </row>
    <row r="174" spans="1:4" ht="27" x14ac:dyDescent="0.3">
      <c r="A174" s="251" t="s">
        <v>594</v>
      </c>
      <c r="B174" s="258" t="s">
        <v>595</v>
      </c>
      <c r="C174" s="253" t="s">
        <v>284</v>
      </c>
      <c r="D174" s="96">
        <v>72.790999999999997</v>
      </c>
    </row>
    <row r="175" spans="1:4" ht="27" x14ac:dyDescent="0.3">
      <c r="A175" s="251" t="s">
        <v>596</v>
      </c>
      <c r="B175" s="258" t="s">
        <v>597</v>
      </c>
      <c r="C175" s="253" t="s">
        <v>216</v>
      </c>
      <c r="D175" s="96">
        <v>60.201000000000001</v>
      </c>
    </row>
    <row r="176" spans="1:4" ht="27" x14ac:dyDescent="0.3">
      <c r="A176" s="251" t="s">
        <v>598</v>
      </c>
      <c r="B176" s="258" t="s">
        <v>599</v>
      </c>
      <c r="C176" s="253" t="s">
        <v>284</v>
      </c>
      <c r="D176" s="96">
        <v>27.93</v>
      </c>
    </row>
    <row r="177" spans="1:4" ht="27" x14ac:dyDescent="0.3">
      <c r="A177" s="250" t="s">
        <v>600</v>
      </c>
      <c r="B177" s="258" t="s">
        <v>601</v>
      </c>
      <c r="C177" s="259" t="s">
        <v>257</v>
      </c>
      <c r="D177" s="96">
        <v>13.036</v>
      </c>
    </row>
    <row r="178" spans="1:4" ht="27" x14ac:dyDescent="0.3">
      <c r="A178" s="251" t="s">
        <v>602</v>
      </c>
      <c r="B178" s="258" t="s">
        <v>603</v>
      </c>
      <c r="C178" s="253" t="s">
        <v>494</v>
      </c>
      <c r="D178" s="96">
        <v>1.5369999999999999</v>
      </c>
    </row>
    <row r="179" spans="1:4" ht="27" x14ac:dyDescent="0.3">
      <c r="A179" s="251" t="s">
        <v>604</v>
      </c>
      <c r="B179" s="258" t="s">
        <v>605</v>
      </c>
      <c r="C179" s="253" t="s">
        <v>198</v>
      </c>
      <c r="D179" s="96">
        <v>24.727</v>
      </c>
    </row>
    <row r="180" spans="1:4" ht="27" x14ac:dyDescent="0.3">
      <c r="A180" s="251" t="s">
        <v>606</v>
      </c>
      <c r="B180" s="258" t="s">
        <v>607</v>
      </c>
      <c r="C180" s="253" t="s">
        <v>198</v>
      </c>
      <c r="D180" s="96">
        <v>194.429</v>
      </c>
    </row>
    <row r="181" spans="1:4" ht="27" x14ac:dyDescent="0.3">
      <c r="A181" s="251" t="s">
        <v>608</v>
      </c>
      <c r="B181" s="258" t="s">
        <v>609</v>
      </c>
      <c r="C181" s="253" t="s">
        <v>610</v>
      </c>
      <c r="D181" s="96">
        <v>0.32600000000000001</v>
      </c>
    </row>
    <row r="182" spans="1:4" ht="27" x14ac:dyDescent="0.3">
      <c r="A182" s="251" t="s">
        <v>613</v>
      </c>
      <c r="B182" s="258" t="s">
        <v>614</v>
      </c>
      <c r="C182" s="253" t="s">
        <v>200</v>
      </c>
      <c r="D182" s="96">
        <v>1.2210000000000001</v>
      </c>
    </row>
    <row r="183" spans="1:4" ht="27" x14ac:dyDescent="0.3">
      <c r="A183" s="251" t="s">
        <v>615</v>
      </c>
      <c r="B183" s="258" t="s">
        <v>616</v>
      </c>
      <c r="C183" s="253" t="s">
        <v>209</v>
      </c>
      <c r="D183" s="96">
        <v>18.038</v>
      </c>
    </row>
    <row r="184" spans="1:4" x14ac:dyDescent="0.3">
      <c r="A184" s="251" t="s">
        <v>617</v>
      </c>
      <c r="B184" s="258" t="s">
        <v>618</v>
      </c>
      <c r="C184" s="253" t="s">
        <v>198</v>
      </c>
      <c r="D184" s="96">
        <v>23.73</v>
      </c>
    </row>
    <row r="185" spans="1:4" ht="27" x14ac:dyDescent="0.3">
      <c r="A185" s="251" t="s">
        <v>619</v>
      </c>
      <c r="B185" s="258" t="s">
        <v>620</v>
      </c>
      <c r="C185" s="253" t="s">
        <v>371</v>
      </c>
      <c r="D185" s="96">
        <v>0.17499999999999999</v>
      </c>
    </row>
    <row r="186" spans="1:4" ht="27" x14ac:dyDescent="0.3">
      <c r="A186" s="251" t="s">
        <v>621</v>
      </c>
      <c r="B186" s="258" t="s">
        <v>622</v>
      </c>
      <c r="C186" s="253" t="s">
        <v>432</v>
      </c>
      <c r="D186" s="96">
        <v>0.20599999999999999</v>
      </c>
    </row>
    <row r="187" spans="1:4" x14ac:dyDescent="0.3">
      <c r="A187" s="251" t="s">
        <v>623</v>
      </c>
      <c r="B187" s="258" t="s">
        <v>624</v>
      </c>
      <c r="C187" s="253" t="s">
        <v>625</v>
      </c>
      <c r="D187" s="96">
        <v>15.339</v>
      </c>
    </row>
    <row r="188" spans="1:4" ht="27" x14ac:dyDescent="0.3">
      <c r="A188" s="251" t="s">
        <v>626</v>
      </c>
      <c r="B188" s="258" t="s">
        <v>627</v>
      </c>
      <c r="C188" s="253" t="s">
        <v>199</v>
      </c>
      <c r="D188" s="96">
        <v>0.86199999999999999</v>
      </c>
    </row>
    <row r="189" spans="1:4" ht="27" x14ac:dyDescent="0.3">
      <c r="A189" s="251" t="s">
        <v>628</v>
      </c>
      <c r="B189" s="258" t="s">
        <v>629</v>
      </c>
      <c r="C189" s="253" t="s">
        <v>396</v>
      </c>
      <c r="D189" s="96">
        <v>2.12</v>
      </c>
    </row>
    <row r="190" spans="1:4" ht="27" x14ac:dyDescent="0.3">
      <c r="A190" s="251" t="s">
        <v>630</v>
      </c>
      <c r="B190" s="258" t="s">
        <v>631</v>
      </c>
      <c r="C190" s="253" t="s">
        <v>632</v>
      </c>
      <c r="D190" s="96">
        <v>422.03899999999999</v>
      </c>
    </row>
    <row r="191" spans="1:4" ht="27" x14ac:dyDescent="0.3">
      <c r="A191" s="251" t="s">
        <v>633</v>
      </c>
      <c r="B191" s="258" t="s">
        <v>634</v>
      </c>
      <c r="C191" s="253" t="s">
        <v>257</v>
      </c>
      <c r="D191" s="96">
        <v>10.852</v>
      </c>
    </row>
    <row r="192" spans="1:4" ht="27" x14ac:dyDescent="0.3">
      <c r="A192" s="251" t="s">
        <v>635</v>
      </c>
      <c r="B192" s="258" t="s">
        <v>636</v>
      </c>
      <c r="C192" s="253" t="s">
        <v>198</v>
      </c>
      <c r="D192" s="96">
        <v>83.78</v>
      </c>
    </row>
    <row r="193" spans="1:4" ht="27" x14ac:dyDescent="0.3">
      <c r="A193" s="251" t="s">
        <v>637</v>
      </c>
      <c r="B193" s="258" t="s">
        <v>638</v>
      </c>
      <c r="C193" s="253" t="s">
        <v>198</v>
      </c>
      <c r="D193" s="96">
        <v>65.745999999999995</v>
      </c>
    </row>
    <row r="194" spans="1:4" x14ac:dyDescent="0.3">
      <c r="A194" s="251" t="s">
        <v>639</v>
      </c>
      <c r="B194" s="258" t="s">
        <v>640</v>
      </c>
      <c r="C194" s="253" t="s">
        <v>198</v>
      </c>
      <c r="D194" s="96">
        <v>533.476</v>
      </c>
    </row>
    <row r="195" spans="1:4" ht="27" x14ac:dyDescent="0.3">
      <c r="A195" s="251" t="s">
        <v>641</v>
      </c>
      <c r="B195" s="258" t="s">
        <v>642</v>
      </c>
      <c r="C195" s="253" t="s">
        <v>199</v>
      </c>
      <c r="D195" s="96">
        <v>85.74</v>
      </c>
    </row>
    <row r="196" spans="1:4" x14ac:dyDescent="0.3">
      <c r="A196" s="251" t="s">
        <v>643</v>
      </c>
      <c r="B196" s="258" t="s">
        <v>644</v>
      </c>
      <c r="C196" s="253" t="s">
        <v>209</v>
      </c>
      <c r="D196" s="96">
        <v>13.026999999999999</v>
      </c>
    </row>
    <row r="197" spans="1:4" ht="27" x14ac:dyDescent="0.3">
      <c r="A197" s="251" t="s">
        <v>645</v>
      </c>
      <c r="B197" s="258" t="s">
        <v>646</v>
      </c>
      <c r="C197" s="253" t="s">
        <v>198</v>
      </c>
      <c r="D197" s="96">
        <v>0.254</v>
      </c>
    </row>
    <row r="198" spans="1:4" ht="27" x14ac:dyDescent="0.3">
      <c r="A198" s="251" t="s">
        <v>647</v>
      </c>
      <c r="B198" s="258" t="s">
        <v>648</v>
      </c>
      <c r="C198" s="253" t="s">
        <v>371</v>
      </c>
      <c r="D198" s="96">
        <v>41.747</v>
      </c>
    </row>
    <row r="199" spans="1:4" ht="27" x14ac:dyDescent="0.3">
      <c r="A199" s="251" t="s">
        <v>649</v>
      </c>
      <c r="B199" s="258" t="s">
        <v>650</v>
      </c>
      <c r="C199" s="253" t="s">
        <v>198</v>
      </c>
      <c r="D199" s="96">
        <v>1.659</v>
      </c>
    </row>
    <row r="200" spans="1:4" x14ac:dyDescent="0.3">
      <c r="A200" s="251" t="s">
        <v>651</v>
      </c>
      <c r="B200" s="258" t="s">
        <v>652</v>
      </c>
      <c r="C200" s="253" t="s">
        <v>653</v>
      </c>
      <c r="D200" s="96">
        <v>0.83304856081091549</v>
      </c>
    </row>
    <row r="201" spans="1:4" ht="27" x14ac:dyDescent="0.3">
      <c r="A201" s="251" t="s">
        <v>654</v>
      </c>
      <c r="B201" s="258" t="s">
        <v>655</v>
      </c>
      <c r="C201" s="253" t="s">
        <v>656</v>
      </c>
      <c r="D201" s="96">
        <v>9.5739999999999998</v>
      </c>
    </row>
    <row r="202" spans="1:4" ht="27" x14ac:dyDescent="0.3">
      <c r="A202" s="251" t="s">
        <v>657</v>
      </c>
      <c r="B202" s="258" t="s">
        <v>658</v>
      </c>
      <c r="C202" s="253" t="s">
        <v>659</v>
      </c>
      <c r="D202" s="96">
        <v>0.58499999999999996</v>
      </c>
    </row>
    <row r="203" spans="1:4" x14ac:dyDescent="0.3">
      <c r="A203" s="251" t="s">
        <v>660</v>
      </c>
      <c r="B203" s="258" t="s">
        <v>661</v>
      </c>
      <c r="C203" s="253" t="s">
        <v>198</v>
      </c>
      <c r="D203" s="96">
        <v>54.393000000000001</v>
      </c>
    </row>
    <row r="204" spans="1:4" ht="27" x14ac:dyDescent="0.3">
      <c r="A204" s="251" t="s">
        <v>662</v>
      </c>
      <c r="B204" s="258" t="s">
        <v>663</v>
      </c>
      <c r="C204" s="253" t="s">
        <v>273</v>
      </c>
      <c r="D204" s="96">
        <v>30.611000000000001</v>
      </c>
    </row>
    <row r="205" spans="1:4" ht="27" x14ac:dyDescent="0.3">
      <c r="A205" s="251" t="s">
        <v>664</v>
      </c>
      <c r="B205" s="258" t="s">
        <v>665</v>
      </c>
      <c r="C205" s="253" t="s">
        <v>311</v>
      </c>
      <c r="D205" s="96">
        <v>0.88400000000000001</v>
      </c>
    </row>
    <row r="206" spans="1:4" ht="27" x14ac:dyDescent="0.3">
      <c r="A206" s="97" t="s">
        <v>666</v>
      </c>
      <c r="B206" s="252" t="s">
        <v>667</v>
      </c>
      <c r="C206" s="262" t="s">
        <v>198</v>
      </c>
      <c r="D206" s="96">
        <v>2.3570000000000002</v>
      </c>
    </row>
    <row r="207" spans="1:4" ht="27" x14ac:dyDescent="0.3">
      <c r="A207" s="251" t="s">
        <v>668</v>
      </c>
      <c r="B207" s="258" t="s">
        <v>669</v>
      </c>
      <c r="C207" s="253" t="s">
        <v>670</v>
      </c>
      <c r="D207" s="96">
        <v>1016.353</v>
      </c>
    </row>
    <row r="208" spans="1:4" ht="27" x14ac:dyDescent="0.3">
      <c r="A208" s="251" t="s">
        <v>671</v>
      </c>
      <c r="B208" s="258" t="s">
        <v>672</v>
      </c>
      <c r="C208" s="253" t="s">
        <v>199</v>
      </c>
      <c r="D208" s="96">
        <v>0.128</v>
      </c>
    </row>
    <row r="209" spans="1:4" ht="27" x14ac:dyDescent="0.3">
      <c r="A209" s="251" t="s">
        <v>673</v>
      </c>
      <c r="B209" s="258" t="s">
        <v>674</v>
      </c>
      <c r="C209" s="253" t="s">
        <v>405</v>
      </c>
      <c r="D209" s="96">
        <v>20.344000000000001</v>
      </c>
    </row>
    <row r="210" spans="1:4" ht="27" x14ac:dyDescent="0.3">
      <c r="A210" s="251" t="s">
        <v>675</v>
      </c>
      <c r="B210" s="258" t="s">
        <v>676</v>
      </c>
      <c r="C210" s="253" t="s">
        <v>295</v>
      </c>
      <c r="D210" s="96">
        <v>1.3049999999999999</v>
      </c>
    </row>
    <row r="211" spans="1:4" ht="27" x14ac:dyDescent="0.3">
      <c r="A211" s="251" t="s">
        <v>677</v>
      </c>
      <c r="B211" s="258" t="s">
        <v>678</v>
      </c>
      <c r="C211" s="253" t="s">
        <v>458</v>
      </c>
      <c r="D211" s="96">
        <v>27.408000000000001</v>
      </c>
    </row>
    <row r="212" spans="1:4" x14ac:dyDescent="0.3">
      <c r="A212" s="251" t="s">
        <v>679</v>
      </c>
      <c r="B212" s="258" t="s">
        <v>680</v>
      </c>
      <c r="C212" s="253" t="s">
        <v>199</v>
      </c>
      <c r="D212" s="96">
        <v>1.7999999999999999E-2</v>
      </c>
    </row>
    <row r="213" spans="1:4" ht="27" x14ac:dyDescent="0.3">
      <c r="A213" s="251" t="s">
        <v>681</v>
      </c>
      <c r="B213" s="258" t="s">
        <v>682</v>
      </c>
      <c r="C213" s="253" t="s">
        <v>683</v>
      </c>
      <c r="D213" s="96">
        <v>12.848000000000001</v>
      </c>
    </row>
    <row r="214" spans="1:4" x14ac:dyDescent="0.3">
      <c r="A214" s="251" t="s">
        <v>684</v>
      </c>
      <c r="B214" s="258" t="s">
        <v>685</v>
      </c>
      <c r="C214" s="253" t="s">
        <v>442</v>
      </c>
      <c r="D214" s="96">
        <v>15.271000000000001</v>
      </c>
    </row>
    <row r="215" spans="1:4" ht="27" x14ac:dyDescent="0.3">
      <c r="A215" s="251" t="s">
        <v>686</v>
      </c>
      <c r="B215" s="258" t="s">
        <v>687</v>
      </c>
      <c r="C215" s="253" t="s">
        <v>688</v>
      </c>
      <c r="D215" s="96">
        <v>0.91</v>
      </c>
    </row>
    <row r="216" spans="1:4" x14ac:dyDescent="0.3">
      <c r="A216" s="251" t="s">
        <v>689</v>
      </c>
      <c r="B216" s="258" t="s">
        <v>690</v>
      </c>
      <c r="C216" s="253" t="s">
        <v>522</v>
      </c>
      <c r="D216" s="96">
        <v>1.8859999999999999</v>
      </c>
    </row>
    <row r="217" spans="1:4" ht="27" x14ac:dyDescent="0.3">
      <c r="A217" s="251" t="s">
        <v>691</v>
      </c>
      <c r="B217" s="258" t="s">
        <v>692</v>
      </c>
      <c r="C217" s="253" t="s">
        <v>257</v>
      </c>
      <c r="D217" s="96">
        <v>5.4550000000000001</v>
      </c>
    </row>
    <row r="218" spans="1:4" x14ac:dyDescent="0.3">
      <c r="A218" s="251" t="s">
        <v>695</v>
      </c>
      <c r="B218" s="258" t="s">
        <v>696</v>
      </c>
      <c r="C218" s="253" t="s">
        <v>257</v>
      </c>
      <c r="D218" s="96">
        <v>1.1399999999999999</v>
      </c>
    </row>
    <row r="219" spans="1:4" ht="27" x14ac:dyDescent="0.3">
      <c r="A219" s="251" t="s">
        <v>697</v>
      </c>
      <c r="B219" s="258" t="s">
        <v>698</v>
      </c>
      <c r="C219" s="253" t="s">
        <v>699</v>
      </c>
      <c r="D219" s="96">
        <v>17.63</v>
      </c>
    </row>
    <row r="220" spans="1:4" ht="27" x14ac:dyDescent="0.3">
      <c r="A220" s="251" t="s">
        <v>700</v>
      </c>
      <c r="B220" s="258" t="s">
        <v>701</v>
      </c>
      <c r="C220" s="253" t="s">
        <v>198</v>
      </c>
      <c r="D220" s="96">
        <v>0.94599999999999995</v>
      </c>
    </row>
    <row r="221" spans="1:4" ht="27" x14ac:dyDescent="0.3">
      <c r="A221" s="251" t="s">
        <v>702</v>
      </c>
      <c r="B221" s="258" t="s">
        <v>703</v>
      </c>
      <c r="C221" s="253" t="s">
        <v>198</v>
      </c>
      <c r="D221" s="96">
        <v>0.115</v>
      </c>
    </row>
    <row r="222" spans="1:4" ht="27" x14ac:dyDescent="0.3">
      <c r="A222" s="97" t="s">
        <v>704</v>
      </c>
      <c r="B222" s="252" t="s">
        <v>2402</v>
      </c>
      <c r="C222" s="262" t="s">
        <v>200</v>
      </c>
      <c r="D222" s="96">
        <v>1.7490000000000001</v>
      </c>
    </row>
    <row r="223" spans="1:4" ht="27" x14ac:dyDescent="0.3">
      <c r="A223" s="251" t="s">
        <v>706</v>
      </c>
      <c r="B223" s="258" t="s">
        <v>707</v>
      </c>
      <c r="C223" s="253" t="s">
        <v>199</v>
      </c>
      <c r="D223" s="96">
        <v>1.65</v>
      </c>
    </row>
    <row r="224" spans="1:4" ht="27" x14ac:dyDescent="0.3">
      <c r="A224" s="250" t="s">
        <v>708</v>
      </c>
      <c r="B224" s="258" t="s">
        <v>2403</v>
      </c>
      <c r="C224" s="259" t="s">
        <v>199</v>
      </c>
      <c r="D224" s="96">
        <v>9.734</v>
      </c>
    </row>
    <row r="225" spans="1:4" x14ac:dyDescent="0.3">
      <c r="A225" s="251" t="s">
        <v>710</v>
      </c>
      <c r="B225" s="258" t="s">
        <v>711</v>
      </c>
      <c r="C225" s="253" t="s">
        <v>452</v>
      </c>
      <c r="D225" s="96">
        <v>7.3280000000000003</v>
      </c>
    </row>
    <row r="226" spans="1:4" ht="27" x14ac:dyDescent="0.3">
      <c r="A226" s="251" t="s">
        <v>712</v>
      </c>
      <c r="B226" s="258" t="s">
        <v>713</v>
      </c>
      <c r="C226" s="253" t="s">
        <v>257</v>
      </c>
      <c r="D226" s="96">
        <v>8.48</v>
      </c>
    </row>
    <row r="227" spans="1:4" ht="27" x14ac:dyDescent="0.3">
      <c r="A227" s="251" t="s">
        <v>714</v>
      </c>
      <c r="B227" s="258" t="s">
        <v>715</v>
      </c>
      <c r="C227" s="253" t="s">
        <v>199</v>
      </c>
      <c r="D227" s="96">
        <v>2.56</v>
      </c>
    </row>
    <row r="228" spans="1:4" ht="27" x14ac:dyDescent="0.3">
      <c r="A228" s="251" t="s">
        <v>716</v>
      </c>
      <c r="B228" s="258" t="s">
        <v>717</v>
      </c>
      <c r="C228" s="253" t="s">
        <v>198</v>
      </c>
      <c r="D228" s="96">
        <v>26.728000000000002</v>
      </c>
    </row>
    <row r="229" spans="1:4" ht="27" x14ac:dyDescent="0.3">
      <c r="A229" s="251" t="s">
        <v>718</v>
      </c>
      <c r="B229" s="258" t="s">
        <v>719</v>
      </c>
      <c r="C229" s="253" t="s">
        <v>198</v>
      </c>
      <c r="D229" s="96">
        <v>3.2450000000000001</v>
      </c>
    </row>
    <row r="230" spans="1:4" ht="27" x14ac:dyDescent="0.3">
      <c r="A230" s="251" t="s">
        <v>720</v>
      </c>
      <c r="B230" s="258" t="s">
        <v>721</v>
      </c>
      <c r="C230" s="253" t="s">
        <v>198</v>
      </c>
      <c r="D230" s="96">
        <v>19.427</v>
      </c>
    </row>
    <row r="231" spans="1:4" ht="27" x14ac:dyDescent="0.3">
      <c r="A231" s="251" t="s">
        <v>724</v>
      </c>
      <c r="B231" s="258" t="s">
        <v>725</v>
      </c>
      <c r="C231" s="253" t="s">
        <v>198</v>
      </c>
      <c r="D231" s="96">
        <v>182.58799999999999</v>
      </c>
    </row>
    <row r="232" spans="1:4" ht="27" x14ac:dyDescent="0.3">
      <c r="A232" s="251" t="s">
        <v>726</v>
      </c>
      <c r="B232" s="258" t="s">
        <v>727</v>
      </c>
      <c r="C232" s="253" t="s">
        <v>728</v>
      </c>
      <c r="D232" s="96">
        <v>1.1240000000000001</v>
      </c>
    </row>
    <row r="233" spans="1:4" x14ac:dyDescent="0.3">
      <c r="A233" s="251" t="s">
        <v>2404</v>
      </c>
      <c r="B233" s="258" t="s">
        <v>2405</v>
      </c>
      <c r="C233" s="253" t="s">
        <v>200</v>
      </c>
      <c r="D233" s="96">
        <v>467.21620000000001</v>
      </c>
    </row>
    <row r="234" spans="1:4" ht="27" x14ac:dyDescent="0.3">
      <c r="A234" s="251" t="s">
        <v>729</v>
      </c>
      <c r="B234" s="258" t="s">
        <v>730</v>
      </c>
      <c r="C234" s="253" t="s">
        <v>200</v>
      </c>
      <c r="D234" s="96">
        <v>33.590000000000003</v>
      </c>
    </row>
    <row r="235" spans="1:4" ht="27" x14ac:dyDescent="0.3">
      <c r="A235" s="251" t="s">
        <v>731</v>
      </c>
      <c r="B235" s="258" t="s">
        <v>732</v>
      </c>
      <c r="C235" s="253" t="s">
        <v>198</v>
      </c>
      <c r="D235" s="96">
        <v>2.9169999999999998</v>
      </c>
    </row>
    <row r="236" spans="1:4" ht="27" x14ac:dyDescent="0.3">
      <c r="A236" s="251" t="s">
        <v>733</v>
      </c>
      <c r="B236" s="258" t="s">
        <v>734</v>
      </c>
      <c r="C236" s="253" t="s">
        <v>735</v>
      </c>
      <c r="D236" s="96">
        <v>6.0439999999999996</v>
      </c>
    </row>
    <row r="237" spans="1:4" ht="27" x14ac:dyDescent="0.3">
      <c r="A237" s="251" t="s">
        <v>736</v>
      </c>
      <c r="B237" s="258" t="s">
        <v>737</v>
      </c>
      <c r="C237" s="253" t="s">
        <v>738</v>
      </c>
      <c r="D237" s="96">
        <v>23.98</v>
      </c>
    </row>
    <row r="238" spans="1:4" ht="27" x14ac:dyDescent="0.3">
      <c r="A238" s="251" t="s">
        <v>739</v>
      </c>
      <c r="B238" s="258" t="s">
        <v>740</v>
      </c>
      <c r="C238" s="253" t="s">
        <v>198</v>
      </c>
      <c r="D238" s="96">
        <v>9.2999999999999999E-2</v>
      </c>
    </row>
    <row r="239" spans="1:4" ht="27" x14ac:dyDescent="0.3">
      <c r="A239" s="250" t="s">
        <v>741</v>
      </c>
      <c r="B239" s="258" t="s">
        <v>742</v>
      </c>
      <c r="C239" s="259" t="s">
        <v>199</v>
      </c>
      <c r="D239" s="96">
        <v>23.367000000000001</v>
      </c>
    </row>
    <row r="240" spans="1:4" ht="27" x14ac:dyDescent="0.3">
      <c r="A240" s="251" t="s">
        <v>2406</v>
      </c>
      <c r="B240" s="258" t="s">
        <v>2407</v>
      </c>
      <c r="C240" s="253" t="s">
        <v>198</v>
      </c>
      <c r="D240" s="96">
        <v>2.9180000000000001</v>
      </c>
    </row>
    <row r="241" spans="1:4" x14ac:dyDescent="0.3">
      <c r="A241" s="251" t="s">
        <v>743</v>
      </c>
      <c r="B241" s="258" t="s">
        <v>744</v>
      </c>
      <c r="C241" s="253" t="s">
        <v>325</v>
      </c>
      <c r="D241" s="96">
        <v>19.161000000000001</v>
      </c>
    </row>
    <row r="242" spans="1:4" ht="27" x14ac:dyDescent="0.3">
      <c r="A242" s="251" t="s">
        <v>745</v>
      </c>
      <c r="B242" s="258" t="s">
        <v>746</v>
      </c>
      <c r="C242" s="253" t="s">
        <v>198</v>
      </c>
      <c r="D242" s="96">
        <v>9.9570000000000007</v>
      </c>
    </row>
    <row r="243" spans="1:4" ht="27" x14ac:dyDescent="0.3">
      <c r="A243" s="251" t="s">
        <v>747</v>
      </c>
      <c r="B243" s="258" t="s">
        <v>748</v>
      </c>
      <c r="C243" s="253" t="s">
        <v>749</v>
      </c>
      <c r="D243" s="96">
        <v>9.4009999999999998</v>
      </c>
    </row>
    <row r="244" spans="1:4" x14ac:dyDescent="0.3">
      <c r="A244" s="251" t="s">
        <v>750</v>
      </c>
      <c r="B244" s="258" t="s">
        <v>751</v>
      </c>
      <c r="C244" s="253" t="s">
        <v>728</v>
      </c>
      <c r="D244" s="96">
        <v>22.050999999999998</v>
      </c>
    </row>
    <row r="245" spans="1:4" x14ac:dyDescent="0.3">
      <c r="A245" s="251" t="s">
        <v>752</v>
      </c>
      <c r="B245" s="258" t="s">
        <v>753</v>
      </c>
      <c r="C245" s="253" t="s">
        <v>452</v>
      </c>
      <c r="D245" s="96">
        <v>1.167</v>
      </c>
    </row>
    <row r="246" spans="1:4" ht="27" x14ac:dyDescent="0.3">
      <c r="A246" s="251" t="s">
        <v>754</v>
      </c>
      <c r="B246" s="258" t="s">
        <v>755</v>
      </c>
      <c r="C246" s="253" t="s">
        <v>756</v>
      </c>
      <c r="D246" s="96">
        <v>1054.7</v>
      </c>
    </row>
    <row r="247" spans="1:4" ht="27" x14ac:dyDescent="0.3">
      <c r="A247" s="251" t="s">
        <v>757</v>
      </c>
      <c r="B247" s="258" t="s">
        <v>758</v>
      </c>
      <c r="C247" s="253" t="s">
        <v>759</v>
      </c>
      <c r="D247" s="96">
        <v>345.22800000000001</v>
      </c>
    </row>
    <row r="248" spans="1:4" ht="27" x14ac:dyDescent="0.3">
      <c r="A248" s="251" t="s">
        <v>760</v>
      </c>
      <c r="B248" s="258" t="s">
        <v>761</v>
      </c>
      <c r="C248" s="253" t="s">
        <v>762</v>
      </c>
      <c r="D248" s="96">
        <v>4247.2460000000001</v>
      </c>
    </row>
    <row r="249" spans="1:4" ht="27" x14ac:dyDescent="0.3">
      <c r="A249" s="251" t="s">
        <v>763</v>
      </c>
      <c r="B249" s="258" t="s">
        <v>764</v>
      </c>
      <c r="C249" s="253" t="s">
        <v>198</v>
      </c>
      <c r="D249" s="96">
        <v>1998.8489999999999</v>
      </c>
    </row>
    <row r="250" spans="1:4" ht="27" x14ac:dyDescent="0.3">
      <c r="A250" s="251" t="s">
        <v>765</v>
      </c>
      <c r="B250" s="258" t="s">
        <v>766</v>
      </c>
      <c r="C250" s="253" t="s">
        <v>767</v>
      </c>
      <c r="D250" s="96">
        <v>26.767650000000003</v>
      </c>
    </row>
    <row r="251" spans="1:4" ht="27" x14ac:dyDescent="0.3">
      <c r="A251" s="251" t="s">
        <v>768</v>
      </c>
      <c r="B251" s="258" t="s">
        <v>769</v>
      </c>
      <c r="C251" s="253" t="s">
        <v>209</v>
      </c>
      <c r="D251" s="96">
        <v>48.216999999999999</v>
      </c>
    </row>
    <row r="252" spans="1:4" ht="27" x14ac:dyDescent="0.3">
      <c r="A252" s="251" t="s">
        <v>770</v>
      </c>
      <c r="B252" s="258" t="s">
        <v>771</v>
      </c>
      <c r="C252" s="253" t="s">
        <v>767</v>
      </c>
      <c r="D252" s="96">
        <v>1.0620000000000001</v>
      </c>
    </row>
    <row r="253" spans="1:4" ht="27" x14ac:dyDescent="0.3">
      <c r="A253" s="251" t="s">
        <v>772</v>
      </c>
      <c r="B253" s="258" t="s">
        <v>773</v>
      </c>
      <c r="C253" s="253" t="s">
        <v>774</v>
      </c>
      <c r="D253" s="96">
        <v>2.9460000000000002</v>
      </c>
    </row>
    <row r="254" spans="1:4" ht="27" x14ac:dyDescent="0.3">
      <c r="A254" s="251" t="s">
        <v>775</v>
      </c>
      <c r="B254" s="258" t="s">
        <v>776</v>
      </c>
      <c r="C254" s="253" t="s">
        <v>683</v>
      </c>
      <c r="D254" s="96">
        <v>118.05200000000001</v>
      </c>
    </row>
    <row r="255" spans="1:4" ht="27" x14ac:dyDescent="0.3">
      <c r="A255" s="251" t="s">
        <v>777</v>
      </c>
      <c r="B255" s="258" t="s">
        <v>778</v>
      </c>
      <c r="C255" s="253" t="s">
        <v>209</v>
      </c>
      <c r="D255" s="96">
        <v>2.9060000000000001</v>
      </c>
    </row>
    <row r="256" spans="1:4" ht="27" x14ac:dyDescent="0.3">
      <c r="A256" s="251" t="s">
        <v>779</v>
      </c>
      <c r="B256" s="258" t="s">
        <v>780</v>
      </c>
      <c r="C256" s="253" t="s">
        <v>781</v>
      </c>
      <c r="D256" s="96">
        <v>36.127000000000002</v>
      </c>
    </row>
    <row r="257" spans="1:4" x14ac:dyDescent="0.3">
      <c r="A257" s="250" t="s">
        <v>782</v>
      </c>
      <c r="B257" s="258" t="s">
        <v>783</v>
      </c>
      <c r="C257" s="253" t="s">
        <v>198</v>
      </c>
      <c r="D257" s="96">
        <v>314.22500000000002</v>
      </c>
    </row>
    <row r="258" spans="1:4" ht="27" x14ac:dyDescent="0.3">
      <c r="A258" s="251" t="s">
        <v>784</v>
      </c>
      <c r="B258" s="258" t="s">
        <v>785</v>
      </c>
      <c r="C258" s="253" t="s">
        <v>452</v>
      </c>
      <c r="D258" s="96">
        <v>12.404</v>
      </c>
    </row>
    <row r="259" spans="1:4" ht="27" x14ac:dyDescent="0.3">
      <c r="A259" s="251" t="s">
        <v>786</v>
      </c>
      <c r="B259" s="258" t="s">
        <v>787</v>
      </c>
      <c r="C259" s="253" t="s">
        <v>209</v>
      </c>
      <c r="D259" s="96">
        <v>1.462</v>
      </c>
    </row>
    <row r="260" spans="1:4" ht="27" x14ac:dyDescent="0.3">
      <c r="A260" s="251" t="s">
        <v>788</v>
      </c>
      <c r="B260" s="258" t="s">
        <v>789</v>
      </c>
      <c r="C260" s="253" t="s">
        <v>553</v>
      </c>
      <c r="D260" s="96">
        <v>18.402999999999999</v>
      </c>
    </row>
    <row r="261" spans="1:4" ht="27" x14ac:dyDescent="0.3">
      <c r="A261" s="251" t="s">
        <v>790</v>
      </c>
      <c r="B261" s="258" t="s">
        <v>791</v>
      </c>
      <c r="C261" s="253" t="s">
        <v>405</v>
      </c>
      <c r="D261" s="96">
        <v>66.52</v>
      </c>
    </row>
    <row r="262" spans="1:4" ht="27" x14ac:dyDescent="0.3">
      <c r="A262" s="251" t="s">
        <v>792</v>
      </c>
      <c r="B262" s="258" t="s">
        <v>793</v>
      </c>
      <c r="C262" s="253" t="s">
        <v>295</v>
      </c>
      <c r="D262" s="96">
        <v>1.5149999999999999</v>
      </c>
    </row>
    <row r="263" spans="1:4" x14ac:dyDescent="0.3">
      <c r="A263" s="251" t="s">
        <v>794</v>
      </c>
      <c r="B263" s="258" t="s">
        <v>795</v>
      </c>
      <c r="C263" s="253" t="s">
        <v>199</v>
      </c>
      <c r="D263" s="96">
        <v>0.115</v>
      </c>
    </row>
    <row r="264" spans="1:4" ht="27" x14ac:dyDescent="0.3">
      <c r="A264" s="251" t="s">
        <v>796</v>
      </c>
      <c r="B264" s="258" t="s">
        <v>797</v>
      </c>
      <c r="C264" s="253" t="s">
        <v>199</v>
      </c>
      <c r="D264" s="96">
        <v>1.0589999999999999</v>
      </c>
    </row>
    <row r="265" spans="1:4" ht="27" x14ac:dyDescent="0.3">
      <c r="A265" s="251" t="s">
        <v>798</v>
      </c>
      <c r="B265" s="258" t="s">
        <v>799</v>
      </c>
      <c r="C265" s="253" t="s">
        <v>371</v>
      </c>
      <c r="D265" s="96">
        <v>15.17</v>
      </c>
    </row>
    <row r="266" spans="1:4" ht="27" x14ac:dyDescent="0.3">
      <c r="A266" s="251" t="s">
        <v>802</v>
      </c>
      <c r="B266" s="258" t="s">
        <v>803</v>
      </c>
      <c r="C266" s="253" t="s">
        <v>199</v>
      </c>
      <c r="D266" s="96">
        <v>0.89900000000000002</v>
      </c>
    </row>
    <row r="267" spans="1:4" ht="27" x14ac:dyDescent="0.3">
      <c r="A267" s="251" t="s">
        <v>804</v>
      </c>
      <c r="B267" s="258" t="s">
        <v>805</v>
      </c>
      <c r="C267" s="253" t="s">
        <v>284</v>
      </c>
      <c r="D267" s="96">
        <v>438.29599999999999</v>
      </c>
    </row>
    <row r="268" spans="1:4" ht="27" x14ac:dyDescent="0.3">
      <c r="A268" s="251" t="s">
        <v>806</v>
      </c>
      <c r="B268" s="258" t="s">
        <v>807</v>
      </c>
      <c r="C268" s="253" t="s">
        <v>808</v>
      </c>
      <c r="D268" s="96">
        <v>380.89100000000002</v>
      </c>
    </row>
    <row r="269" spans="1:4" ht="27" x14ac:dyDescent="0.3">
      <c r="A269" s="251" t="s">
        <v>809</v>
      </c>
      <c r="B269" s="258" t="s">
        <v>810</v>
      </c>
      <c r="C269" s="253" t="s">
        <v>553</v>
      </c>
      <c r="D269" s="96">
        <v>6.1680000000000001</v>
      </c>
    </row>
    <row r="270" spans="1:4" x14ac:dyDescent="0.3">
      <c r="A270" s="251" t="s">
        <v>811</v>
      </c>
      <c r="B270" s="258" t="s">
        <v>812</v>
      </c>
      <c r="C270" s="253" t="s">
        <v>396</v>
      </c>
      <c r="D270" s="96">
        <v>259.25099999999998</v>
      </c>
    </row>
    <row r="271" spans="1:4" ht="27" x14ac:dyDescent="0.3">
      <c r="A271" s="251" t="s">
        <v>813</v>
      </c>
      <c r="B271" s="258" t="s">
        <v>814</v>
      </c>
      <c r="C271" s="253" t="s">
        <v>273</v>
      </c>
      <c r="D271" s="96">
        <v>55.372999999999998</v>
      </c>
    </row>
    <row r="272" spans="1:4" ht="27" x14ac:dyDescent="0.3">
      <c r="A272" s="251" t="s">
        <v>817</v>
      </c>
      <c r="B272" s="258" t="s">
        <v>818</v>
      </c>
      <c r="C272" s="253" t="s">
        <v>819</v>
      </c>
      <c r="D272" s="96">
        <v>19.896999999999998</v>
      </c>
    </row>
    <row r="273" spans="1:4" ht="27" x14ac:dyDescent="0.3">
      <c r="A273" s="251" t="s">
        <v>820</v>
      </c>
      <c r="B273" s="258" t="s">
        <v>821</v>
      </c>
      <c r="C273" s="253" t="s">
        <v>822</v>
      </c>
      <c r="D273" s="96">
        <v>79.037000000000006</v>
      </c>
    </row>
    <row r="274" spans="1:4" x14ac:dyDescent="0.3">
      <c r="A274" s="251" t="s">
        <v>823</v>
      </c>
      <c r="B274" s="258" t="s">
        <v>824</v>
      </c>
      <c r="C274" s="253" t="s">
        <v>825</v>
      </c>
      <c r="D274" s="96">
        <v>4.7830000000000004</v>
      </c>
    </row>
    <row r="275" spans="1:4" ht="27" x14ac:dyDescent="0.3">
      <c r="A275" s="251" t="s">
        <v>826</v>
      </c>
      <c r="B275" s="258" t="s">
        <v>827</v>
      </c>
      <c r="C275" s="253" t="s">
        <v>825</v>
      </c>
      <c r="D275" s="96">
        <v>23.855</v>
      </c>
    </row>
    <row r="276" spans="1:4" ht="27" x14ac:dyDescent="0.3">
      <c r="A276" s="251" t="s">
        <v>828</v>
      </c>
      <c r="B276" s="258" t="s">
        <v>829</v>
      </c>
      <c r="C276" s="253" t="s">
        <v>396</v>
      </c>
      <c r="D276" s="96">
        <v>8.5389999999999997</v>
      </c>
    </row>
    <row r="277" spans="1:4" ht="27" x14ac:dyDescent="0.3">
      <c r="A277" s="251" t="s">
        <v>830</v>
      </c>
      <c r="B277" s="258" t="s">
        <v>831</v>
      </c>
      <c r="C277" s="253" t="s">
        <v>198</v>
      </c>
      <c r="D277" s="96">
        <v>7.3999999999999996E-2</v>
      </c>
    </row>
    <row r="278" spans="1:4" ht="27" x14ac:dyDescent="0.3">
      <c r="A278" s="265" t="s">
        <v>832</v>
      </c>
      <c r="B278" s="258" t="s">
        <v>833</v>
      </c>
      <c r="C278" s="253" t="s">
        <v>834</v>
      </c>
      <c r="D278" s="96">
        <v>66.575000000000003</v>
      </c>
    </row>
    <row r="279" spans="1:4" ht="27" x14ac:dyDescent="0.3">
      <c r="A279" s="251" t="s">
        <v>835</v>
      </c>
      <c r="B279" s="258" t="s">
        <v>836</v>
      </c>
      <c r="C279" s="253" t="s">
        <v>381</v>
      </c>
      <c r="D279" s="96">
        <v>36.392000000000003</v>
      </c>
    </row>
    <row r="280" spans="1:4" x14ac:dyDescent="0.3">
      <c r="A280" s="251" t="s">
        <v>837</v>
      </c>
      <c r="B280" s="258" t="s">
        <v>838</v>
      </c>
      <c r="C280" s="253" t="s">
        <v>839</v>
      </c>
      <c r="D280" s="96">
        <v>102.93899999999999</v>
      </c>
    </row>
    <row r="281" spans="1:4" ht="27" x14ac:dyDescent="0.3">
      <c r="A281" s="251" t="s">
        <v>840</v>
      </c>
      <c r="B281" s="258" t="s">
        <v>841</v>
      </c>
      <c r="C281" s="253" t="s">
        <v>491</v>
      </c>
      <c r="D281" s="96">
        <v>0.30499999999999999</v>
      </c>
    </row>
    <row r="282" spans="1:4" ht="27" x14ac:dyDescent="0.3">
      <c r="A282" s="251" t="s">
        <v>842</v>
      </c>
      <c r="B282" s="258" t="s">
        <v>843</v>
      </c>
      <c r="C282" s="253" t="s">
        <v>325</v>
      </c>
      <c r="D282" s="96">
        <v>37.823</v>
      </c>
    </row>
    <row r="283" spans="1:4" ht="27" x14ac:dyDescent="0.3">
      <c r="A283" s="251" t="s">
        <v>2408</v>
      </c>
      <c r="B283" s="258" t="s">
        <v>2409</v>
      </c>
      <c r="C283" s="253" t="s">
        <v>452</v>
      </c>
      <c r="D283" s="96">
        <v>34.78125</v>
      </c>
    </row>
    <row r="284" spans="1:4" ht="27" x14ac:dyDescent="0.3">
      <c r="A284" s="251" t="s">
        <v>846</v>
      </c>
      <c r="B284" s="258" t="s">
        <v>847</v>
      </c>
      <c r="C284" s="253" t="s">
        <v>848</v>
      </c>
      <c r="D284" s="96">
        <v>2.3029999999999999</v>
      </c>
    </row>
    <row r="285" spans="1:4" ht="27" x14ac:dyDescent="0.3">
      <c r="A285" s="251" t="s">
        <v>849</v>
      </c>
      <c r="B285" s="258" t="s">
        <v>850</v>
      </c>
      <c r="C285" s="253" t="s">
        <v>491</v>
      </c>
      <c r="D285" s="96">
        <v>4.3479999999999999</v>
      </c>
    </row>
    <row r="286" spans="1:4" ht="27" x14ac:dyDescent="0.3">
      <c r="A286" s="251" t="s">
        <v>851</v>
      </c>
      <c r="B286" s="258" t="s">
        <v>850</v>
      </c>
      <c r="C286" s="253" t="s">
        <v>852</v>
      </c>
      <c r="D286" s="96">
        <v>6.0330000000000004</v>
      </c>
    </row>
    <row r="287" spans="1:4" ht="27" x14ac:dyDescent="0.3">
      <c r="A287" s="251" t="s">
        <v>853</v>
      </c>
      <c r="B287" s="258" t="s">
        <v>854</v>
      </c>
      <c r="C287" s="253" t="s">
        <v>198</v>
      </c>
      <c r="D287" s="96">
        <v>83.478999999999999</v>
      </c>
    </row>
    <row r="288" spans="1:4" ht="27" x14ac:dyDescent="0.3">
      <c r="A288" s="251" t="s">
        <v>855</v>
      </c>
      <c r="B288" s="258" t="s">
        <v>856</v>
      </c>
      <c r="C288" s="253" t="s">
        <v>405</v>
      </c>
      <c r="D288" s="96">
        <v>12.887</v>
      </c>
    </row>
    <row r="289" spans="1:4" ht="27" x14ac:dyDescent="0.3">
      <c r="A289" s="251" t="s">
        <v>857</v>
      </c>
      <c r="B289" s="258" t="s">
        <v>2410</v>
      </c>
      <c r="C289" s="253" t="s">
        <v>273</v>
      </c>
      <c r="D289" s="96">
        <v>0.42899999999999999</v>
      </c>
    </row>
    <row r="290" spans="1:4" ht="27" x14ac:dyDescent="0.3">
      <c r="A290" s="250" t="s">
        <v>859</v>
      </c>
      <c r="B290" s="258" t="s">
        <v>2411</v>
      </c>
      <c r="C290" s="259" t="s">
        <v>371</v>
      </c>
      <c r="D290" s="96">
        <v>40.375999999999998</v>
      </c>
    </row>
    <row r="291" spans="1:4" ht="27" x14ac:dyDescent="0.3">
      <c r="A291" s="251" t="s">
        <v>861</v>
      </c>
      <c r="B291" s="258" t="s">
        <v>862</v>
      </c>
      <c r="C291" s="253" t="s">
        <v>749</v>
      </c>
      <c r="D291" s="96">
        <v>74.126000000000005</v>
      </c>
    </row>
    <row r="292" spans="1:4" ht="27" x14ac:dyDescent="0.3">
      <c r="A292" s="250" t="s">
        <v>863</v>
      </c>
      <c r="B292" s="258" t="s">
        <v>864</v>
      </c>
      <c r="C292" s="259" t="s">
        <v>198</v>
      </c>
      <c r="D292" s="96">
        <v>1.3240000000000001</v>
      </c>
    </row>
    <row r="293" spans="1:4" x14ac:dyDescent="0.3">
      <c r="A293" s="251" t="s">
        <v>865</v>
      </c>
      <c r="B293" s="258" t="s">
        <v>866</v>
      </c>
      <c r="C293" s="253" t="s">
        <v>199</v>
      </c>
      <c r="D293" s="96">
        <v>5.077</v>
      </c>
    </row>
    <row r="294" spans="1:4" ht="27" x14ac:dyDescent="0.3">
      <c r="A294" s="251" t="s">
        <v>867</v>
      </c>
      <c r="B294" s="258" t="s">
        <v>868</v>
      </c>
      <c r="C294" s="253" t="s">
        <v>198</v>
      </c>
      <c r="D294" s="96">
        <v>110.04</v>
      </c>
    </row>
    <row r="295" spans="1:4" ht="27" x14ac:dyDescent="0.3">
      <c r="A295" s="251" t="s">
        <v>869</v>
      </c>
      <c r="B295" s="258" t="s">
        <v>870</v>
      </c>
      <c r="C295" s="253" t="s">
        <v>198</v>
      </c>
      <c r="D295" s="96">
        <v>2.448</v>
      </c>
    </row>
    <row r="296" spans="1:4" ht="27" x14ac:dyDescent="0.3">
      <c r="A296" s="251" t="s">
        <v>871</v>
      </c>
      <c r="B296" s="258" t="s">
        <v>872</v>
      </c>
      <c r="C296" s="253" t="s">
        <v>198</v>
      </c>
      <c r="D296" s="96">
        <v>4.2999999999999997E-2</v>
      </c>
    </row>
    <row r="297" spans="1:4" ht="27" x14ac:dyDescent="0.3">
      <c r="A297" s="251" t="s">
        <v>875</v>
      </c>
      <c r="B297" s="258" t="s">
        <v>876</v>
      </c>
      <c r="C297" s="253" t="s">
        <v>209</v>
      </c>
      <c r="D297" s="96">
        <v>27.710999999999999</v>
      </c>
    </row>
    <row r="298" spans="1:4" ht="27" x14ac:dyDescent="0.3">
      <c r="A298" s="251" t="s">
        <v>877</v>
      </c>
      <c r="B298" s="258" t="s">
        <v>878</v>
      </c>
      <c r="C298" s="253" t="s">
        <v>879</v>
      </c>
      <c r="D298" s="96">
        <v>1564.252</v>
      </c>
    </row>
    <row r="299" spans="1:4" ht="27" x14ac:dyDescent="0.3">
      <c r="A299" s="251" t="s">
        <v>880</v>
      </c>
      <c r="B299" s="258" t="s">
        <v>881</v>
      </c>
      <c r="C299" s="253" t="s">
        <v>198</v>
      </c>
      <c r="D299" s="96">
        <v>3.2719999999999998</v>
      </c>
    </row>
    <row r="300" spans="1:4" ht="27" x14ac:dyDescent="0.3">
      <c r="A300" s="251" t="s">
        <v>884</v>
      </c>
      <c r="B300" s="258" t="s">
        <v>885</v>
      </c>
      <c r="C300" s="253" t="s">
        <v>442</v>
      </c>
      <c r="D300" s="96">
        <v>29.471</v>
      </c>
    </row>
    <row r="301" spans="1:4" ht="27" x14ac:dyDescent="0.3">
      <c r="A301" s="251" t="s">
        <v>886</v>
      </c>
      <c r="B301" s="258" t="s">
        <v>887</v>
      </c>
      <c r="C301" s="253" t="s">
        <v>494</v>
      </c>
      <c r="D301" s="96">
        <v>1.87</v>
      </c>
    </row>
    <row r="302" spans="1:4" ht="27" x14ac:dyDescent="0.3">
      <c r="A302" s="251" t="s">
        <v>888</v>
      </c>
      <c r="B302" s="258" t="s">
        <v>889</v>
      </c>
      <c r="C302" s="253" t="s">
        <v>198</v>
      </c>
      <c r="D302" s="96">
        <v>4.3689999999999998</v>
      </c>
    </row>
    <row r="303" spans="1:4" x14ac:dyDescent="0.3">
      <c r="A303" s="251" t="s">
        <v>890</v>
      </c>
      <c r="B303" s="258" t="s">
        <v>891</v>
      </c>
      <c r="C303" s="253" t="s">
        <v>198</v>
      </c>
      <c r="D303" s="96">
        <v>61.237000000000002</v>
      </c>
    </row>
    <row r="304" spans="1:4" ht="27" x14ac:dyDescent="0.3">
      <c r="A304" s="251" t="s">
        <v>892</v>
      </c>
      <c r="B304" s="258" t="s">
        <v>893</v>
      </c>
      <c r="C304" s="253" t="s">
        <v>198</v>
      </c>
      <c r="D304" s="96">
        <v>3.8940000000000001</v>
      </c>
    </row>
    <row r="305" spans="1:4" ht="27" x14ac:dyDescent="0.3">
      <c r="A305" s="251" t="s">
        <v>894</v>
      </c>
      <c r="B305" s="258" t="s">
        <v>895</v>
      </c>
      <c r="C305" s="253" t="s">
        <v>199</v>
      </c>
      <c r="D305" s="96">
        <v>1.8839999999999999</v>
      </c>
    </row>
    <row r="306" spans="1:4" x14ac:dyDescent="0.3">
      <c r="A306" s="251" t="s">
        <v>898</v>
      </c>
      <c r="B306" s="258" t="s">
        <v>899</v>
      </c>
      <c r="C306" s="253" t="s">
        <v>670</v>
      </c>
      <c r="D306" s="96">
        <v>279.36</v>
      </c>
    </row>
    <row r="307" spans="1:4" ht="27" x14ac:dyDescent="0.3">
      <c r="A307" s="251" t="s">
        <v>900</v>
      </c>
      <c r="B307" s="258" t="s">
        <v>901</v>
      </c>
      <c r="C307" s="253" t="s">
        <v>198</v>
      </c>
      <c r="D307" s="96">
        <v>183.25200000000001</v>
      </c>
    </row>
    <row r="308" spans="1:4" x14ac:dyDescent="0.3">
      <c r="A308" s="251" t="s">
        <v>904</v>
      </c>
      <c r="B308" s="258" t="s">
        <v>905</v>
      </c>
      <c r="C308" s="253" t="s">
        <v>200</v>
      </c>
      <c r="D308" s="96">
        <v>9.859</v>
      </c>
    </row>
    <row r="309" spans="1:4" ht="27" x14ac:dyDescent="0.3">
      <c r="A309" s="251" t="s">
        <v>906</v>
      </c>
      <c r="B309" s="258" t="s">
        <v>907</v>
      </c>
      <c r="C309" s="253" t="s">
        <v>284</v>
      </c>
      <c r="D309" s="96">
        <v>2.5619999999999998</v>
      </c>
    </row>
    <row r="310" spans="1:4" ht="27" x14ac:dyDescent="0.3">
      <c r="A310" s="250" t="s">
        <v>908</v>
      </c>
      <c r="B310" s="258" t="s">
        <v>909</v>
      </c>
      <c r="C310" s="259" t="s">
        <v>198</v>
      </c>
      <c r="D310" s="96">
        <v>18.062000000000001</v>
      </c>
    </row>
    <row r="311" spans="1:4" x14ac:dyDescent="0.3">
      <c r="A311" s="251" t="s">
        <v>910</v>
      </c>
      <c r="B311" s="258" t="s">
        <v>911</v>
      </c>
      <c r="C311" s="253" t="s">
        <v>360</v>
      </c>
      <c r="D311" s="96">
        <v>342.185</v>
      </c>
    </row>
    <row r="312" spans="1:4" ht="27" x14ac:dyDescent="0.3">
      <c r="A312" s="251" t="s">
        <v>912</v>
      </c>
      <c r="B312" s="258" t="s">
        <v>913</v>
      </c>
      <c r="C312" s="253" t="s">
        <v>273</v>
      </c>
      <c r="D312" s="96">
        <v>10.756</v>
      </c>
    </row>
    <row r="313" spans="1:4" ht="27" x14ac:dyDescent="0.3">
      <c r="A313" s="251" t="s">
        <v>914</v>
      </c>
      <c r="B313" s="258" t="s">
        <v>915</v>
      </c>
      <c r="C313" s="253" t="s">
        <v>553</v>
      </c>
      <c r="D313" s="96">
        <v>2.12</v>
      </c>
    </row>
    <row r="314" spans="1:4" ht="27" x14ac:dyDescent="0.3">
      <c r="A314" s="251" t="s">
        <v>916</v>
      </c>
      <c r="B314" s="258" t="s">
        <v>917</v>
      </c>
      <c r="C314" s="253" t="s">
        <v>257</v>
      </c>
      <c r="D314" s="96">
        <v>3.0489999999999999</v>
      </c>
    </row>
    <row r="315" spans="1:4" ht="27" x14ac:dyDescent="0.3">
      <c r="A315" s="251" t="s">
        <v>918</v>
      </c>
      <c r="B315" s="258" t="s">
        <v>919</v>
      </c>
      <c r="C315" s="253" t="s">
        <v>257</v>
      </c>
      <c r="D315" s="96">
        <v>10.202</v>
      </c>
    </row>
    <row r="316" spans="1:4" ht="27" x14ac:dyDescent="0.3">
      <c r="A316" s="251" t="s">
        <v>920</v>
      </c>
      <c r="B316" s="258" t="s">
        <v>921</v>
      </c>
      <c r="C316" s="253" t="s">
        <v>922</v>
      </c>
      <c r="D316" s="96">
        <v>2.5089999999999999</v>
      </c>
    </row>
    <row r="317" spans="1:4" ht="27" x14ac:dyDescent="0.3">
      <c r="A317" s="251" t="s">
        <v>923</v>
      </c>
      <c r="B317" s="258" t="s">
        <v>924</v>
      </c>
      <c r="C317" s="253" t="s">
        <v>198</v>
      </c>
      <c r="D317" s="96">
        <v>4.0880000000000001</v>
      </c>
    </row>
    <row r="318" spans="1:4" ht="27" x14ac:dyDescent="0.3">
      <c r="A318" s="251" t="s">
        <v>925</v>
      </c>
      <c r="B318" s="258" t="s">
        <v>926</v>
      </c>
      <c r="C318" s="253" t="s">
        <v>199</v>
      </c>
      <c r="D318" s="96">
        <v>3.2549999999999999</v>
      </c>
    </row>
    <row r="319" spans="1:4" ht="27" x14ac:dyDescent="0.3">
      <c r="A319" s="250" t="s">
        <v>927</v>
      </c>
      <c r="B319" s="258" t="s">
        <v>928</v>
      </c>
      <c r="C319" s="259" t="s">
        <v>354</v>
      </c>
      <c r="D319" s="96">
        <v>0.38800000000000001</v>
      </c>
    </row>
    <row r="320" spans="1:4" ht="27" x14ac:dyDescent="0.3">
      <c r="A320" s="251" t="s">
        <v>929</v>
      </c>
      <c r="B320" s="258" t="s">
        <v>930</v>
      </c>
      <c r="C320" s="253" t="s">
        <v>931</v>
      </c>
      <c r="D320" s="96">
        <v>0.35699999999999998</v>
      </c>
    </row>
    <row r="321" spans="1:4" ht="27" x14ac:dyDescent="0.3">
      <c r="A321" s="251" t="s">
        <v>932</v>
      </c>
      <c r="B321" s="258" t="s">
        <v>933</v>
      </c>
      <c r="C321" s="253" t="s">
        <v>284</v>
      </c>
      <c r="D321" s="96">
        <v>0.54400000000000004</v>
      </c>
    </row>
    <row r="322" spans="1:4" ht="27" x14ac:dyDescent="0.3">
      <c r="A322" s="251" t="s">
        <v>934</v>
      </c>
      <c r="B322" s="258" t="s">
        <v>935</v>
      </c>
      <c r="C322" s="253" t="s">
        <v>936</v>
      </c>
      <c r="D322" s="96">
        <v>0.13200000000000001</v>
      </c>
    </row>
    <row r="323" spans="1:4" x14ac:dyDescent="0.3">
      <c r="A323" s="251" t="s">
        <v>937</v>
      </c>
      <c r="B323" s="258" t="s">
        <v>938</v>
      </c>
      <c r="C323" s="253" t="s">
        <v>199</v>
      </c>
      <c r="D323" s="96">
        <v>1.516</v>
      </c>
    </row>
    <row r="324" spans="1:4" ht="27" x14ac:dyDescent="0.3">
      <c r="A324" s="251" t="s">
        <v>939</v>
      </c>
      <c r="B324" s="258" t="s">
        <v>940</v>
      </c>
      <c r="C324" s="253" t="s">
        <v>199</v>
      </c>
      <c r="D324" s="96">
        <v>21.681000000000001</v>
      </c>
    </row>
    <row r="325" spans="1:4" ht="27" x14ac:dyDescent="0.3">
      <c r="A325" s="251" t="s">
        <v>941</v>
      </c>
      <c r="B325" s="258" t="s">
        <v>942</v>
      </c>
      <c r="C325" s="253" t="s">
        <v>198</v>
      </c>
      <c r="D325" s="96">
        <v>12.031000000000001</v>
      </c>
    </row>
    <row r="326" spans="1:4" ht="27" x14ac:dyDescent="0.3">
      <c r="A326" s="251" t="s">
        <v>943</v>
      </c>
      <c r="B326" s="258" t="s">
        <v>944</v>
      </c>
      <c r="C326" s="253" t="s">
        <v>945</v>
      </c>
      <c r="D326" s="96">
        <v>1.9910000000000001</v>
      </c>
    </row>
    <row r="327" spans="1:4" ht="27" x14ac:dyDescent="0.3">
      <c r="A327" s="251" t="s">
        <v>946</v>
      </c>
      <c r="B327" s="258" t="s">
        <v>944</v>
      </c>
      <c r="C327" s="253" t="s">
        <v>947</v>
      </c>
      <c r="D327" s="96">
        <v>0.998</v>
      </c>
    </row>
    <row r="328" spans="1:4" ht="27" x14ac:dyDescent="0.3">
      <c r="A328" s="251" t="s">
        <v>948</v>
      </c>
      <c r="B328" s="258" t="s">
        <v>949</v>
      </c>
      <c r="C328" s="253" t="s">
        <v>947</v>
      </c>
      <c r="D328" s="96">
        <v>0.88200000000000001</v>
      </c>
    </row>
    <row r="329" spans="1:4" ht="27" x14ac:dyDescent="0.3">
      <c r="A329" s="251" t="s">
        <v>950</v>
      </c>
      <c r="B329" s="258" t="s">
        <v>944</v>
      </c>
      <c r="C329" s="253" t="s">
        <v>951</v>
      </c>
      <c r="D329" s="96">
        <v>0.49</v>
      </c>
    </row>
    <row r="330" spans="1:4" x14ac:dyDescent="0.3">
      <c r="A330" s="251" t="s">
        <v>952</v>
      </c>
      <c r="B330" s="258" t="s">
        <v>953</v>
      </c>
      <c r="C330" s="253" t="s">
        <v>947</v>
      </c>
      <c r="D330" s="96">
        <v>2.0619999999999998</v>
      </c>
    </row>
    <row r="331" spans="1:4" x14ac:dyDescent="0.3">
      <c r="A331" s="251" t="s">
        <v>954</v>
      </c>
      <c r="B331" s="258" t="s">
        <v>955</v>
      </c>
      <c r="C331" s="253" t="s">
        <v>956</v>
      </c>
      <c r="D331" s="96">
        <v>4.0250000000000004</v>
      </c>
    </row>
    <row r="332" spans="1:4" ht="27" x14ac:dyDescent="0.3">
      <c r="A332" s="251" t="s">
        <v>957</v>
      </c>
      <c r="B332" s="258" t="s">
        <v>958</v>
      </c>
      <c r="C332" s="253" t="s">
        <v>956</v>
      </c>
      <c r="D332" s="96">
        <v>2.399</v>
      </c>
    </row>
    <row r="333" spans="1:4" ht="27" x14ac:dyDescent="0.3">
      <c r="A333" s="251" t="s">
        <v>968</v>
      </c>
      <c r="B333" s="258" t="s">
        <v>969</v>
      </c>
      <c r="C333" s="253" t="s">
        <v>963</v>
      </c>
      <c r="D333" s="96">
        <v>8.1929999999999996</v>
      </c>
    </row>
    <row r="334" spans="1:4" ht="27" x14ac:dyDescent="0.3">
      <c r="A334" s="250" t="s">
        <v>972</v>
      </c>
      <c r="B334" s="258" t="s">
        <v>973</v>
      </c>
      <c r="C334" s="253" t="s">
        <v>963</v>
      </c>
      <c r="D334" s="96">
        <v>1.3120000000000001</v>
      </c>
    </row>
    <row r="335" spans="1:4" x14ac:dyDescent="0.3">
      <c r="A335" s="251" t="s">
        <v>974</v>
      </c>
      <c r="B335" s="258" t="s">
        <v>975</v>
      </c>
      <c r="C335" s="253" t="s">
        <v>976</v>
      </c>
      <c r="D335" s="96">
        <v>1.0349999999999999</v>
      </c>
    </row>
    <row r="336" spans="1:4" x14ac:dyDescent="0.3">
      <c r="A336" s="251" t="s">
        <v>977</v>
      </c>
      <c r="B336" s="258" t="s">
        <v>978</v>
      </c>
      <c r="C336" s="253" t="s">
        <v>963</v>
      </c>
      <c r="D336" s="96">
        <v>1.2649999999999999</v>
      </c>
    </row>
    <row r="337" spans="1:4" ht="27" x14ac:dyDescent="0.3">
      <c r="A337" s="251" t="s">
        <v>979</v>
      </c>
      <c r="B337" s="258" t="s">
        <v>980</v>
      </c>
      <c r="C337" s="255" t="s">
        <v>981</v>
      </c>
      <c r="D337" s="96">
        <v>0.94</v>
      </c>
    </row>
    <row r="338" spans="1:4" x14ac:dyDescent="0.3">
      <c r="A338" s="251" t="s">
        <v>982</v>
      </c>
      <c r="B338" s="258" t="s">
        <v>983</v>
      </c>
      <c r="C338" s="253" t="s">
        <v>963</v>
      </c>
      <c r="D338" s="96">
        <v>1.0880000000000001</v>
      </c>
    </row>
    <row r="339" spans="1:4" x14ac:dyDescent="0.3">
      <c r="A339" s="251" t="s">
        <v>986</v>
      </c>
      <c r="B339" s="258" t="s">
        <v>987</v>
      </c>
      <c r="C339" s="255" t="s">
        <v>452</v>
      </c>
      <c r="D339" s="96">
        <v>1.978</v>
      </c>
    </row>
    <row r="340" spans="1:4" x14ac:dyDescent="0.3">
      <c r="A340" s="251" t="s">
        <v>988</v>
      </c>
      <c r="B340" s="258" t="s">
        <v>989</v>
      </c>
      <c r="C340" s="253" t="s">
        <v>963</v>
      </c>
      <c r="D340" s="96">
        <v>0.98099999999999998</v>
      </c>
    </row>
    <row r="341" spans="1:4" ht="27" x14ac:dyDescent="0.3">
      <c r="A341" s="251" t="s">
        <v>990</v>
      </c>
      <c r="B341" s="258" t="s">
        <v>991</v>
      </c>
      <c r="C341" s="253" t="s">
        <v>963</v>
      </c>
      <c r="D341" s="96">
        <v>1.222</v>
      </c>
    </row>
    <row r="342" spans="1:4" ht="27" x14ac:dyDescent="0.3">
      <c r="A342" s="251" t="s">
        <v>992</v>
      </c>
      <c r="B342" s="258" t="s">
        <v>993</v>
      </c>
      <c r="C342" s="253" t="s">
        <v>963</v>
      </c>
      <c r="D342" s="96">
        <v>1.1240000000000001</v>
      </c>
    </row>
    <row r="343" spans="1:4" x14ac:dyDescent="0.3">
      <c r="A343" s="251" t="s">
        <v>994</v>
      </c>
      <c r="B343" s="258" t="s">
        <v>995</v>
      </c>
      <c r="C343" s="253" t="s">
        <v>963</v>
      </c>
      <c r="D343" s="96">
        <v>1.395</v>
      </c>
    </row>
    <row r="344" spans="1:4" ht="27" x14ac:dyDescent="0.3">
      <c r="A344" s="251" t="s">
        <v>996</v>
      </c>
      <c r="B344" s="258" t="s">
        <v>997</v>
      </c>
      <c r="C344" s="253" t="s">
        <v>963</v>
      </c>
      <c r="D344" s="96">
        <v>1.5</v>
      </c>
    </row>
    <row r="345" spans="1:4" ht="27" x14ac:dyDescent="0.3">
      <c r="A345" s="251" t="s">
        <v>998</v>
      </c>
      <c r="B345" s="258" t="s">
        <v>999</v>
      </c>
      <c r="C345" s="253" t="s">
        <v>963</v>
      </c>
      <c r="D345" s="96">
        <v>3.222</v>
      </c>
    </row>
    <row r="346" spans="1:4" x14ac:dyDescent="0.3">
      <c r="A346" s="251" t="s">
        <v>1000</v>
      </c>
      <c r="B346" s="258" t="s">
        <v>1001</v>
      </c>
      <c r="C346" s="253" t="s">
        <v>963</v>
      </c>
      <c r="D346" s="96">
        <v>1.9339999999999999</v>
      </c>
    </row>
    <row r="347" spans="1:4" ht="27" x14ac:dyDescent="0.3">
      <c r="A347" s="251" t="s">
        <v>1002</v>
      </c>
      <c r="B347" s="258" t="s">
        <v>1003</v>
      </c>
      <c r="C347" s="253" t="s">
        <v>963</v>
      </c>
      <c r="D347" s="96">
        <v>1.278</v>
      </c>
    </row>
    <row r="348" spans="1:4" ht="27" x14ac:dyDescent="0.3">
      <c r="A348" s="251" t="s">
        <v>1004</v>
      </c>
      <c r="B348" s="258" t="s">
        <v>1005</v>
      </c>
      <c r="C348" s="253" t="s">
        <v>963</v>
      </c>
      <c r="D348" s="96">
        <v>2.9820000000000002</v>
      </c>
    </row>
    <row r="349" spans="1:4" ht="27" x14ac:dyDescent="0.3">
      <c r="A349" s="251" t="s">
        <v>1008</v>
      </c>
      <c r="B349" s="258" t="s">
        <v>1009</v>
      </c>
      <c r="C349" s="253" t="s">
        <v>963</v>
      </c>
      <c r="D349" s="96">
        <v>2.0259999999999998</v>
      </c>
    </row>
    <row r="350" spans="1:4" ht="27" x14ac:dyDescent="0.3">
      <c r="A350" s="251" t="s">
        <v>1020</v>
      </c>
      <c r="B350" s="258" t="s">
        <v>1021</v>
      </c>
      <c r="C350" s="253" t="s">
        <v>1022</v>
      </c>
      <c r="D350" s="96">
        <v>367.80900000000003</v>
      </c>
    </row>
    <row r="351" spans="1:4" ht="27" x14ac:dyDescent="0.3">
      <c r="A351" s="251" t="s">
        <v>1023</v>
      </c>
      <c r="B351" s="258" t="s">
        <v>1024</v>
      </c>
      <c r="C351" s="253" t="s">
        <v>1025</v>
      </c>
      <c r="D351" s="96">
        <v>20143.25</v>
      </c>
    </row>
    <row r="352" spans="1:4" ht="27" x14ac:dyDescent="0.3">
      <c r="A352" s="251" t="s">
        <v>1026</v>
      </c>
      <c r="B352" s="258" t="s">
        <v>1027</v>
      </c>
      <c r="C352" s="253" t="s">
        <v>273</v>
      </c>
      <c r="D352" s="96">
        <v>200.762</v>
      </c>
    </row>
    <row r="353" spans="1:4" ht="27" x14ac:dyDescent="0.3">
      <c r="A353" s="250" t="s">
        <v>1028</v>
      </c>
      <c r="B353" s="258" t="s">
        <v>1029</v>
      </c>
      <c r="C353" s="259" t="s">
        <v>318</v>
      </c>
      <c r="D353" s="96">
        <v>490.947</v>
      </c>
    </row>
    <row r="354" spans="1:4" ht="27" x14ac:dyDescent="0.3">
      <c r="A354" s="250" t="s">
        <v>1030</v>
      </c>
      <c r="B354" s="258" t="s">
        <v>1031</v>
      </c>
      <c r="C354" s="259" t="s">
        <v>1032</v>
      </c>
      <c r="D354" s="96">
        <v>1046.75</v>
      </c>
    </row>
    <row r="355" spans="1:4" ht="27" x14ac:dyDescent="0.3">
      <c r="A355" s="250" t="s">
        <v>2112</v>
      </c>
      <c r="B355" s="258" t="s">
        <v>2113</v>
      </c>
      <c r="C355" s="259" t="s">
        <v>198</v>
      </c>
      <c r="D355" s="96">
        <v>7.0609999999999999</v>
      </c>
    </row>
    <row r="356" spans="1:4" ht="27" x14ac:dyDescent="0.3">
      <c r="A356" s="251" t="s">
        <v>1033</v>
      </c>
      <c r="B356" s="258" t="s">
        <v>2412</v>
      </c>
      <c r="C356" s="253" t="s">
        <v>1035</v>
      </c>
      <c r="D356" s="96">
        <v>85.534999999999997</v>
      </c>
    </row>
    <row r="357" spans="1:4" ht="27" x14ac:dyDescent="0.3">
      <c r="A357" s="251" t="s">
        <v>1036</v>
      </c>
      <c r="B357" s="258" t="s">
        <v>1037</v>
      </c>
      <c r="C357" s="253" t="s">
        <v>1035</v>
      </c>
      <c r="D357" s="96">
        <v>152.33000000000001</v>
      </c>
    </row>
    <row r="358" spans="1:4" ht="27" x14ac:dyDescent="0.3">
      <c r="A358" s="251" t="s">
        <v>1587</v>
      </c>
      <c r="B358" s="258" t="s">
        <v>1588</v>
      </c>
      <c r="C358" s="253" t="s">
        <v>1035</v>
      </c>
      <c r="D358" s="96">
        <v>142.71600000000001</v>
      </c>
    </row>
    <row r="359" spans="1:4" ht="27" x14ac:dyDescent="0.3">
      <c r="A359" s="251" t="s">
        <v>1038</v>
      </c>
      <c r="B359" s="258" t="s">
        <v>1039</v>
      </c>
      <c r="C359" s="253" t="s">
        <v>198</v>
      </c>
      <c r="D359" s="96">
        <v>12.688000000000001</v>
      </c>
    </row>
    <row r="360" spans="1:4" x14ac:dyDescent="0.3">
      <c r="A360" s="251" t="s">
        <v>2116</v>
      </c>
      <c r="B360" s="258" t="s">
        <v>2117</v>
      </c>
      <c r="C360" s="253" t="s">
        <v>1035</v>
      </c>
      <c r="D360" s="96">
        <v>558.125</v>
      </c>
    </row>
    <row r="361" spans="1:4" ht="27" x14ac:dyDescent="0.3">
      <c r="A361" s="251" t="s">
        <v>1590</v>
      </c>
      <c r="B361" s="258" t="s">
        <v>1591</v>
      </c>
      <c r="C361" s="253" t="s">
        <v>1813</v>
      </c>
      <c r="D361" s="96">
        <v>867.39099999999996</v>
      </c>
    </row>
    <row r="362" spans="1:4" ht="27" x14ac:dyDescent="0.3">
      <c r="A362" s="251" t="s">
        <v>1040</v>
      </c>
      <c r="B362" s="258" t="s">
        <v>1041</v>
      </c>
      <c r="C362" s="253" t="s">
        <v>1042</v>
      </c>
      <c r="D362" s="96">
        <v>3.198</v>
      </c>
    </row>
    <row r="363" spans="1:4" ht="27" x14ac:dyDescent="0.3">
      <c r="A363" s="251" t="s">
        <v>1048</v>
      </c>
      <c r="B363" s="258" t="s">
        <v>1049</v>
      </c>
      <c r="C363" s="253" t="s">
        <v>209</v>
      </c>
      <c r="D363" s="96">
        <v>0.32900000000000001</v>
      </c>
    </row>
    <row r="364" spans="1:4" ht="27" x14ac:dyDescent="0.3">
      <c r="A364" s="251" t="s">
        <v>1050</v>
      </c>
      <c r="B364" s="258" t="s">
        <v>1051</v>
      </c>
      <c r="C364" s="253" t="s">
        <v>257</v>
      </c>
      <c r="D364" s="96">
        <v>2.7690000000000001</v>
      </c>
    </row>
    <row r="365" spans="1:4" ht="27" x14ac:dyDescent="0.3">
      <c r="A365" s="250" t="s">
        <v>1052</v>
      </c>
      <c r="B365" s="258" t="s">
        <v>1053</v>
      </c>
      <c r="C365" s="259" t="s">
        <v>458</v>
      </c>
      <c r="D365" s="96">
        <v>1.238</v>
      </c>
    </row>
    <row r="366" spans="1:4" ht="27" x14ac:dyDescent="0.3">
      <c r="A366" s="251" t="s">
        <v>1054</v>
      </c>
      <c r="B366" s="258" t="s">
        <v>1055</v>
      </c>
      <c r="C366" s="253" t="s">
        <v>295</v>
      </c>
      <c r="D366" s="96">
        <v>1754.6669999999999</v>
      </c>
    </row>
    <row r="367" spans="1:4" ht="27" x14ac:dyDescent="0.3">
      <c r="A367" s="251" t="s">
        <v>1056</v>
      </c>
      <c r="B367" s="258" t="s">
        <v>1057</v>
      </c>
      <c r="C367" s="253" t="s">
        <v>198</v>
      </c>
      <c r="D367" s="96">
        <v>0.59799999999999998</v>
      </c>
    </row>
    <row r="368" spans="1:4" ht="27" x14ac:dyDescent="0.3">
      <c r="A368" s="250" t="s">
        <v>1058</v>
      </c>
      <c r="B368" s="258" t="s">
        <v>1059</v>
      </c>
      <c r="C368" s="259" t="s">
        <v>273</v>
      </c>
      <c r="D368" s="96">
        <v>0.42399999999999999</v>
      </c>
    </row>
    <row r="369" spans="1:4" ht="27" x14ac:dyDescent="0.3">
      <c r="A369" s="251" t="s">
        <v>1060</v>
      </c>
      <c r="B369" s="258" t="s">
        <v>1061</v>
      </c>
      <c r="C369" s="253" t="s">
        <v>513</v>
      </c>
      <c r="D369" s="96">
        <v>0.41199999999999998</v>
      </c>
    </row>
    <row r="370" spans="1:4" ht="27" x14ac:dyDescent="0.3">
      <c r="A370" s="251" t="s">
        <v>1062</v>
      </c>
      <c r="B370" s="258" t="s">
        <v>1063</v>
      </c>
      <c r="C370" s="253" t="s">
        <v>200</v>
      </c>
      <c r="D370" s="96">
        <v>6.4000000000000001E-2</v>
      </c>
    </row>
    <row r="371" spans="1:4" ht="27" x14ac:dyDescent="0.3">
      <c r="A371" s="251" t="s">
        <v>1064</v>
      </c>
      <c r="B371" s="258" t="s">
        <v>1065</v>
      </c>
      <c r="C371" s="253" t="s">
        <v>553</v>
      </c>
      <c r="D371" s="96">
        <v>706.13199999999995</v>
      </c>
    </row>
    <row r="372" spans="1:4" ht="27" x14ac:dyDescent="0.3">
      <c r="A372" s="251" t="s">
        <v>1066</v>
      </c>
      <c r="B372" s="258" t="s">
        <v>1067</v>
      </c>
      <c r="C372" s="253" t="s">
        <v>198</v>
      </c>
      <c r="D372" s="96">
        <v>8.9999999999999993E-3</v>
      </c>
    </row>
    <row r="373" spans="1:4" ht="27" x14ac:dyDescent="0.3">
      <c r="A373" s="251" t="s">
        <v>1068</v>
      </c>
      <c r="B373" s="258" t="s">
        <v>1069</v>
      </c>
      <c r="C373" s="253" t="s">
        <v>553</v>
      </c>
      <c r="D373" s="96">
        <v>0.78700000000000003</v>
      </c>
    </row>
    <row r="374" spans="1:4" ht="27" x14ac:dyDescent="0.3">
      <c r="A374" s="251" t="s">
        <v>1070</v>
      </c>
      <c r="B374" s="258" t="s">
        <v>1071</v>
      </c>
      <c r="C374" s="253" t="s">
        <v>295</v>
      </c>
      <c r="D374" s="96">
        <v>42.51</v>
      </c>
    </row>
    <row r="375" spans="1:4" ht="27" x14ac:dyDescent="0.3">
      <c r="A375" s="251" t="s">
        <v>1072</v>
      </c>
      <c r="B375" s="258" t="s">
        <v>1073</v>
      </c>
      <c r="C375" s="253" t="s">
        <v>295</v>
      </c>
      <c r="D375" s="96">
        <v>1.0009999999999999</v>
      </c>
    </row>
    <row r="376" spans="1:4" x14ac:dyDescent="0.3">
      <c r="A376" s="251" t="s">
        <v>1074</v>
      </c>
      <c r="B376" s="258" t="s">
        <v>1075</v>
      </c>
      <c r="C376" s="253" t="s">
        <v>1076</v>
      </c>
      <c r="D376" s="96">
        <v>2.7109999999999999</v>
      </c>
    </row>
    <row r="377" spans="1:4" x14ac:dyDescent="0.3">
      <c r="A377" s="251" t="s">
        <v>1077</v>
      </c>
      <c r="B377" s="258" t="s">
        <v>1078</v>
      </c>
      <c r="C377" s="253" t="s">
        <v>198</v>
      </c>
      <c r="D377" s="96">
        <v>7.7450000000000001</v>
      </c>
    </row>
    <row r="378" spans="1:4" x14ac:dyDescent="0.3">
      <c r="A378" s="251" t="s">
        <v>1079</v>
      </c>
      <c r="B378" s="258" t="s">
        <v>1080</v>
      </c>
      <c r="C378" s="253" t="s">
        <v>200</v>
      </c>
      <c r="D378" s="96">
        <v>185.24100000000001</v>
      </c>
    </row>
    <row r="379" spans="1:4" x14ac:dyDescent="0.3">
      <c r="A379" s="251" t="s">
        <v>1081</v>
      </c>
      <c r="B379" s="258" t="s">
        <v>1082</v>
      </c>
      <c r="C379" s="253" t="s">
        <v>458</v>
      </c>
      <c r="D379" s="96">
        <v>8.1300000000000008</v>
      </c>
    </row>
    <row r="380" spans="1:4" ht="27" x14ac:dyDescent="0.3">
      <c r="A380" s="251" t="s">
        <v>1083</v>
      </c>
      <c r="B380" s="258" t="s">
        <v>1084</v>
      </c>
      <c r="C380" s="253" t="s">
        <v>1085</v>
      </c>
      <c r="D380" s="96">
        <v>9.2889999999999997</v>
      </c>
    </row>
    <row r="381" spans="1:4" ht="27" x14ac:dyDescent="0.3">
      <c r="A381" s="251" t="s">
        <v>1086</v>
      </c>
      <c r="B381" s="258" t="s">
        <v>1087</v>
      </c>
      <c r="C381" s="253" t="s">
        <v>239</v>
      </c>
      <c r="D381" s="96">
        <v>10.379</v>
      </c>
    </row>
    <row r="382" spans="1:4" ht="27" x14ac:dyDescent="0.3">
      <c r="A382" s="251" t="s">
        <v>1088</v>
      </c>
      <c r="B382" s="258" t="s">
        <v>1089</v>
      </c>
      <c r="C382" s="253" t="s">
        <v>405</v>
      </c>
      <c r="D382" s="96">
        <v>4.4729999999999999</v>
      </c>
    </row>
    <row r="383" spans="1:4" ht="27" x14ac:dyDescent="0.3">
      <c r="A383" s="251" t="s">
        <v>1090</v>
      </c>
      <c r="B383" s="258" t="s">
        <v>1091</v>
      </c>
      <c r="C383" s="253" t="s">
        <v>198</v>
      </c>
      <c r="D383" s="96">
        <v>0.13800000000000001</v>
      </c>
    </row>
    <row r="384" spans="1:4" ht="27" x14ac:dyDescent="0.3">
      <c r="A384" s="251" t="s">
        <v>1092</v>
      </c>
      <c r="B384" s="258" t="s">
        <v>1093</v>
      </c>
      <c r="C384" s="253" t="s">
        <v>396</v>
      </c>
      <c r="D384" s="96">
        <v>0.20599999999999999</v>
      </c>
    </row>
    <row r="385" spans="1:4" ht="27" x14ac:dyDescent="0.3">
      <c r="A385" s="251" t="s">
        <v>1094</v>
      </c>
      <c r="B385" s="258" t="s">
        <v>1095</v>
      </c>
      <c r="C385" s="253" t="s">
        <v>198</v>
      </c>
      <c r="D385" s="96">
        <v>4.8000000000000001E-2</v>
      </c>
    </row>
    <row r="386" spans="1:4" ht="27" x14ac:dyDescent="0.3">
      <c r="A386" s="251" t="s">
        <v>1096</v>
      </c>
      <c r="B386" s="258" t="s">
        <v>1097</v>
      </c>
      <c r="C386" s="253" t="s">
        <v>396</v>
      </c>
      <c r="D386" s="96">
        <v>5.5E-2</v>
      </c>
    </row>
    <row r="387" spans="1:4" ht="27" x14ac:dyDescent="0.3">
      <c r="A387" s="251" t="s">
        <v>1098</v>
      </c>
      <c r="B387" s="258" t="s">
        <v>1099</v>
      </c>
      <c r="C387" s="253" t="s">
        <v>1100</v>
      </c>
      <c r="D387" s="96">
        <v>0.14299999999999999</v>
      </c>
    </row>
    <row r="388" spans="1:4" ht="27" x14ac:dyDescent="0.3">
      <c r="A388" s="251" t="s">
        <v>1101</v>
      </c>
      <c r="B388" s="258" t="s">
        <v>1102</v>
      </c>
      <c r="C388" s="253" t="s">
        <v>396</v>
      </c>
      <c r="D388" s="96">
        <v>3.67</v>
      </c>
    </row>
    <row r="389" spans="1:4" ht="27" x14ac:dyDescent="0.3">
      <c r="A389" s="251" t="s">
        <v>1103</v>
      </c>
      <c r="B389" s="258" t="s">
        <v>1104</v>
      </c>
      <c r="C389" s="253" t="s">
        <v>199</v>
      </c>
      <c r="D389" s="96">
        <v>0.80900000000000005</v>
      </c>
    </row>
    <row r="390" spans="1:4" ht="27" x14ac:dyDescent="0.3">
      <c r="A390" s="251" t="s">
        <v>1105</v>
      </c>
      <c r="B390" s="258" t="s">
        <v>1106</v>
      </c>
      <c r="C390" s="253" t="s">
        <v>198</v>
      </c>
      <c r="D390" s="96">
        <v>45.088000000000001</v>
      </c>
    </row>
    <row r="391" spans="1:4" ht="27" x14ac:dyDescent="0.3">
      <c r="A391" s="251" t="s">
        <v>1107</v>
      </c>
      <c r="B391" s="258" t="s">
        <v>1108</v>
      </c>
      <c r="C391" s="253" t="s">
        <v>198</v>
      </c>
      <c r="D391" s="96">
        <v>0.22800000000000001</v>
      </c>
    </row>
    <row r="392" spans="1:4" ht="27" x14ac:dyDescent="0.3">
      <c r="A392" s="251" t="s">
        <v>1109</v>
      </c>
      <c r="B392" s="258" t="s">
        <v>1110</v>
      </c>
      <c r="C392" s="253" t="s">
        <v>198</v>
      </c>
      <c r="D392" s="96">
        <v>0.54</v>
      </c>
    </row>
    <row r="393" spans="1:4" ht="27" x14ac:dyDescent="0.3">
      <c r="A393" s="251" t="s">
        <v>1111</v>
      </c>
      <c r="B393" s="258" t="s">
        <v>1112</v>
      </c>
      <c r="C393" s="253" t="s">
        <v>683</v>
      </c>
      <c r="D393" s="96">
        <v>45.353000000000002</v>
      </c>
    </row>
    <row r="394" spans="1:4" ht="27" x14ac:dyDescent="0.3">
      <c r="A394" s="251" t="s">
        <v>1113</v>
      </c>
      <c r="B394" s="258" t="s">
        <v>1114</v>
      </c>
      <c r="C394" s="253" t="s">
        <v>1115</v>
      </c>
      <c r="D394" s="96">
        <v>531.28099999999995</v>
      </c>
    </row>
    <row r="395" spans="1:4" x14ac:dyDescent="0.3">
      <c r="A395" s="251" t="s">
        <v>1116</v>
      </c>
      <c r="B395" s="258" t="s">
        <v>1117</v>
      </c>
      <c r="C395" s="253" t="s">
        <v>200</v>
      </c>
      <c r="D395" s="96">
        <v>9.4930000000000003</v>
      </c>
    </row>
    <row r="396" spans="1:4" x14ac:dyDescent="0.3">
      <c r="A396" s="251" t="s">
        <v>1118</v>
      </c>
      <c r="B396" s="258" t="s">
        <v>1119</v>
      </c>
      <c r="C396" s="253" t="s">
        <v>688</v>
      </c>
      <c r="D396" s="96">
        <v>24.828592000000004</v>
      </c>
    </row>
    <row r="397" spans="1:4" ht="27" x14ac:dyDescent="0.3">
      <c r="A397" s="251" t="s">
        <v>1120</v>
      </c>
      <c r="B397" s="258" t="s">
        <v>1121</v>
      </c>
      <c r="C397" s="253" t="s">
        <v>445</v>
      </c>
      <c r="D397" s="96">
        <v>3.028</v>
      </c>
    </row>
    <row r="398" spans="1:4" ht="27" x14ac:dyDescent="0.3">
      <c r="A398" s="251" t="s">
        <v>1122</v>
      </c>
      <c r="B398" s="258" t="s">
        <v>1123</v>
      </c>
      <c r="C398" s="253" t="s">
        <v>284</v>
      </c>
      <c r="D398" s="96">
        <v>7.9829999999999997</v>
      </c>
    </row>
    <row r="399" spans="1:4" ht="27" x14ac:dyDescent="0.3">
      <c r="A399" s="251" t="s">
        <v>1124</v>
      </c>
      <c r="B399" s="258" t="s">
        <v>1125</v>
      </c>
      <c r="C399" s="253" t="s">
        <v>553</v>
      </c>
      <c r="D399" s="96">
        <v>3.508</v>
      </c>
    </row>
    <row r="400" spans="1:4" ht="27" x14ac:dyDescent="0.3">
      <c r="A400" s="251" t="s">
        <v>1126</v>
      </c>
      <c r="B400" s="258" t="s">
        <v>1127</v>
      </c>
      <c r="C400" s="253" t="s">
        <v>458</v>
      </c>
      <c r="D400" s="96">
        <v>8.8999999999999996E-2</v>
      </c>
    </row>
    <row r="401" spans="1:4" ht="27" x14ac:dyDescent="0.3">
      <c r="A401" s="251" t="s">
        <v>1128</v>
      </c>
      <c r="B401" s="258" t="s">
        <v>1129</v>
      </c>
      <c r="C401" s="253" t="s">
        <v>209</v>
      </c>
      <c r="D401" s="96">
        <v>74.081000000000003</v>
      </c>
    </row>
    <row r="402" spans="1:4" ht="27" x14ac:dyDescent="0.3">
      <c r="A402" s="251" t="s">
        <v>1130</v>
      </c>
      <c r="B402" s="258" t="s">
        <v>1131</v>
      </c>
      <c r="C402" s="253" t="s">
        <v>688</v>
      </c>
      <c r="D402" s="96">
        <v>11.724</v>
      </c>
    </row>
    <row r="403" spans="1:4" ht="27" x14ac:dyDescent="0.3">
      <c r="A403" s="251" t="s">
        <v>1132</v>
      </c>
      <c r="B403" s="258" t="s">
        <v>1133</v>
      </c>
      <c r="C403" s="253" t="s">
        <v>1134</v>
      </c>
      <c r="D403" s="96">
        <v>0.53700000000000003</v>
      </c>
    </row>
    <row r="404" spans="1:4" ht="27" x14ac:dyDescent="0.3">
      <c r="A404" s="250" t="s">
        <v>1135</v>
      </c>
      <c r="B404" s="258" t="s">
        <v>2413</v>
      </c>
      <c r="C404" s="259" t="s">
        <v>396</v>
      </c>
      <c r="D404" s="96">
        <v>431.50099999999998</v>
      </c>
    </row>
    <row r="405" spans="1:4" x14ac:dyDescent="0.3">
      <c r="A405" s="251" t="s">
        <v>1139</v>
      </c>
      <c r="B405" s="258" t="s">
        <v>1140</v>
      </c>
      <c r="C405" s="253" t="s">
        <v>200</v>
      </c>
      <c r="D405" s="96">
        <v>1.873</v>
      </c>
    </row>
    <row r="406" spans="1:4" x14ac:dyDescent="0.3">
      <c r="A406" s="251" t="s">
        <v>1141</v>
      </c>
      <c r="B406" s="258" t="s">
        <v>1142</v>
      </c>
      <c r="C406" s="253" t="s">
        <v>1143</v>
      </c>
      <c r="D406" s="96">
        <v>103.779</v>
      </c>
    </row>
    <row r="407" spans="1:4" ht="27" x14ac:dyDescent="0.3">
      <c r="A407" s="251" t="s">
        <v>1144</v>
      </c>
      <c r="B407" s="258" t="s">
        <v>1145</v>
      </c>
      <c r="C407" s="253" t="s">
        <v>199</v>
      </c>
      <c r="D407" s="96">
        <v>2.67</v>
      </c>
    </row>
    <row r="408" spans="1:4" ht="27" x14ac:dyDescent="0.3">
      <c r="A408" s="251" t="s">
        <v>1146</v>
      </c>
      <c r="B408" s="258" t="s">
        <v>1147</v>
      </c>
      <c r="C408" s="253" t="s">
        <v>198</v>
      </c>
      <c r="D408" s="96">
        <v>70.938000000000002</v>
      </c>
    </row>
    <row r="409" spans="1:4" x14ac:dyDescent="0.3">
      <c r="A409" s="251" t="s">
        <v>1148</v>
      </c>
      <c r="B409" s="258" t="s">
        <v>1149</v>
      </c>
      <c r="C409" s="253" t="s">
        <v>1150</v>
      </c>
      <c r="D409" s="96">
        <v>402.74299999999999</v>
      </c>
    </row>
    <row r="410" spans="1:4" x14ac:dyDescent="0.3">
      <c r="A410" s="251" t="s">
        <v>1155</v>
      </c>
      <c r="B410" s="258" t="s">
        <v>1156</v>
      </c>
      <c r="C410" s="253" t="s">
        <v>198</v>
      </c>
      <c r="D410" s="96">
        <v>2.1019999999999999</v>
      </c>
    </row>
    <row r="411" spans="1:4" ht="27" x14ac:dyDescent="0.3">
      <c r="A411" s="251" t="s">
        <v>1157</v>
      </c>
      <c r="B411" s="258" t="s">
        <v>1158</v>
      </c>
      <c r="C411" s="253" t="s">
        <v>198</v>
      </c>
      <c r="D411" s="96">
        <v>151.96100000000001</v>
      </c>
    </row>
    <row r="412" spans="1:4" ht="27" x14ac:dyDescent="0.3">
      <c r="A412" s="251" t="s">
        <v>1814</v>
      </c>
      <c r="B412" s="258" t="s">
        <v>1815</v>
      </c>
      <c r="C412" s="253" t="s">
        <v>1274</v>
      </c>
      <c r="D412" s="96">
        <v>128.679</v>
      </c>
    </row>
    <row r="413" spans="1:4" ht="27" x14ac:dyDescent="0.3">
      <c r="A413" s="250" t="s">
        <v>1161</v>
      </c>
      <c r="B413" s="258" t="s">
        <v>1162</v>
      </c>
      <c r="C413" s="259" t="s">
        <v>199</v>
      </c>
      <c r="D413" s="96">
        <v>35.264000000000003</v>
      </c>
    </row>
    <row r="414" spans="1:4" x14ac:dyDescent="0.3">
      <c r="A414" s="251" t="s">
        <v>1163</v>
      </c>
      <c r="B414" s="258" t="s">
        <v>1164</v>
      </c>
      <c r="C414" s="253" t="s">
        <v>198</v>
      </c>
      <c r="D414" s="96">
        <v>28.911000000000001</v>
      </c>
    </row>
    <row r="415" spans="1:4" x14ac:dyDescent="0.3">
      <c r="A415" s="251" t="s">
        <v>1165</v>
      </c>
      <c r="B415" s="258" t="s">
        <v>1166</v>
      </c>
      <c r="C415" s="253" t="s">
        <v>198</v>
      </c>
      <c r="D415" s="96">
        <v>23.545999999999999</v>
      </c>
    </row>
    <row r="416" spans="1:4" ht="27" x14ac:dyDescent="0.3">
      <c r="A416" s="251" t="s">
        <v>1167</v>
      </c>
      <c r="B416" s="258" t="s">
        <v>1168</v>
      </c>
      <c r="C416" s="253" t="s">
        <v>199</v>
      </c>
      <c r="D416" s="96">
        <v>74.841999999999999</v>
      </c>
    </row>
    <row r="417" spans="1:4" ht="27" x14ac:dyDescent="0.3">
      <c r="A417" s="251" t="s">
        <v>1171</v>
      </c>
      <c r="B417" s="258" t="s">
        <v>1172</v>
      </c>
      <c r="C417" s="253" t="s">
        <v>452</v>
      </c>
      <c r="D417" s="96">
        <v>102.3</v>
      </c>
    </row>
    <row r="418" spans="1:4" ht="27" x14ac:dyDescent="0.3">
      <c r="A418" s="251" t="s">
        <v>1173</v>
      </c>
      <c r="B418" s="258" t="s">
        <v>1174</v>
      </c>
      <c r="C418" s="253" t="s">
        <v>1175</v>
      </c>
      <c r="D418" s="96">
        <v>46.497</v>
      </c>
    </row>
    <row r="419" spans="1:4" ht="27" x14ac:dyDescent="0.3">
      <c r="A419" s="251" t="s">
        <v>1176</v>
      </c>
      <c r="B419" s="258" t="s">
        <v>2414</v>
      </c>
      <c r="C419" s="253" t="s">
        <v>273</v>
      </c>
      <c r="D419" s="96">
        <v>46.84</v>
      </c>
    </row>
    <row r="420" spans="1:4" ht="27" x14ac:dyDescent="0.3">
      <c r="A420" s="251" t="s">
        <v>1178</v>
      </c>
      <c r="B420" s="258" t="s">
        <v>1179</v>
      </c>
      <c r="C420" s="253" t="s">
        <v>198</v>
      </c>
      <c r="D420" s="96">
        <v>139.75299999999999</v>
      </c>
    </row>
    <row r="421" spans="1:4" ht="27" x14ac:dyDescent="0.3">
      <c r="A421" s="251" t="s">
        <v>1180</v>
      </c>
      <c r="B421" s="258" t="s">
        <v>1181</v>
      </c>
      <c r="C421" s="253" t="s">
        <v>198</v>
      </c>
      <c r="D421" s="96">
        <v>156.92099999999999</v>
      </c>
    </row>
    <row r="422" spans="1:4" ht="27" x14ac:dyDescent="0.3">
      <c r="A422" s="251" t="s">
        <v>1184</v>
      </c>
      <c r="B422" s="258" t="s">
        <v>1185</v>
      </c>
      <c r="C422" s="253" t="s">
        <v>209</v>
      </c>
      <c r="D422" s="96">
        <v>3.4129999999999998</v>
      </c>
    </row>
    <row r="423" spans="1:4" ht="27" x14ac:dyDescent="0.3">
      <c r="A423" s="250" t="s">
        <v>1186</v>
      </c>
      <c r="B423" s="258" t="s">
        <v>1187</v>
      </c>
      <c r="C423" s="264" t="s">
        <v>198</v>
      </c>
      <c r="D423" s="96">
        <v>32.139000000000003</v>
      </c>
    </row>
    <row r="424" spans="1:4" ht="27" x14ac:dyDescent="0.3">
      <c r="A424" s="251" t="s">
        <v>1188</v>
      </c>
      <c r="B424" s="258" t="s">
        <v>1189</v>
      </c>
      <c r="C424" s="253" t="s">
        <v>257</v>
      </c>
      <c r="D424" s="96">
        <v>3862.48</v>
      </c>
    </row>
    <row r="425" spans="1:4" x14ac:dyDescent="0.3">
      <c r="A425" s="251" t="s">
        <v>1190</v>
      </c>
      <c r="B425" s="258" t="s">
        <v>1191</v>
      </c>
      <c r="C425" s="253" t="s">
        <v>199</v>
      </c>
      <c r="D425" s="96">
        <v>57.488</v>
      </c>
    </row>
    <row r="426" spans="1:4" ht="27" x14ac:dyDescent="0.3">
      <c r="A426" s="251" t="s">
        <v>1192</v>
      </c>
      <c r="B426" s="258" t="s">
        <v>1193</v>
      </c>
      <c r="C426" s="253" t="s">
        <v>199</v>
      </c>
      <c r="D426" s="96">
        <v>2.0089999999999999</v>
      </c>
    </row>
    <row r="427" spans="1:4" ht="27" x14ac:dyDescent="0.3">
      <c r="A427" s="251" t="s">
        <v>1194</v>
      </c>
      <c r="B427" s="258" t="s">
        <v>1195</v>
      </c>
      <c r="C427" s="253" t="s">
        <v>198</v>
      </c>
      <c r="D427" s="96">
        <v>21.219000000000001</v>
      </c>
    </row>
    <row r="428" spans="1:4" ht="27" x14ac:dyDescent="0.3">
      <c r="A428" s="251" t="s">
        <v>1196</v>
      </c>
      <c r="B428" s="258" t="s">
        <v>1197</v>
      </c>
      <c r="C428" s="253" t="s">
        <v>257</v>
      </c>
      <c r="D428" s="96">
        <v>42.158999999999999</v>
      </c>
    </row>
    <row r="429" spans="1:4" ht="27" x14ac:dyDescent="0.3">
      <c r="A429" s="251" t="s">
        <v>1816</v>
      </c>
      <c r="B429" s="258" t="s">
        <v>1817</v>
      </c>
      <c r="C429" s="253" t="s">
        <v>199</v>
      </c>
      <c r="D429" s="96">
        <v>611.404</v>
      </c>
    </row>
    <row r="430" spans="1:4" ht="27" x14ac:dyDescent="0.3">
      <c r="A430" s="251" t="s">
        <v>1198</v>
      </c>
      <c r="B430" s="258" t="s">
        <v>1199</v>
      </c>
      <c r="C430" s="253" t="s">
        <v>257</v>
      </c>
      <c r="D430" s="96">
        <v>0.82699999999999996</v>
      </c>
    </row>
    <row r="431" spans="1:4" ht="27" x14ac:dyDescent="0.3">
      <c r="A431" s="251" t="s">
        <v>1200</v>
      </c>
      <c r="B431" s="258" t="s">
        <v>1201</v>
      </c>
      <c r="C431" s="253" t="s">
        <v>396</v>
      </c>
      <c r="D431" s="96">
        <v>1370.0820000000001</v>
      </c>
    </row>
    <row r="432" spans="1:4" ht="27" x14ac:dyDescent="0.3">
      <c r="A432" s="251" t="s">
        <v>1202</v>
      </c>
      <c r="B432" s="258" t="s">
        <v>1203</v>
      </c>
      <c r="C432" s="253" t="s">
        <v>257</v>
      </c>
      <c r="D432" s="96">
        <v>3.9119999999999999</v>
      </c>
    </row>
    <row r="433" spans="1:4" ht="40.200000000000003" x14ac:dyDescent="0.3">
      <c r="A433" s="251" t="s">
        <v>1204</v>
      </c>
      <c r="B433" s="258" t="s">
        <v>1205</v>
      </c>
      <c r="C433" s="253" t="s">
        <v>199</v>
      </c>
      <c r="D433" s="96">
        <v>48.612000000000002</v>
      </c>
    </row>
    <row r="434" spans="1:4" ht="27" x14ac:dyDescent="0.3">
      <c r="A434" s="251" t="s">
        <v>1206</v>
      </c>
      <c r="B434" s="258" t="s">
        <v>1207</v>
      </c>
      <c r="C434" s="253" t="s">
        <v>199</v>
      </c>
      <c r="D434" s="96">
        <v>41.16</v>
      </c>
    </row>
    <row r="435" spans="1:4" x14ac:dyDescent="0.3">
      <c r="A435" s="100" t="s">
        <v>1211</v>
      </c>
      <c r="B435" s="258" t="s">
        <v>1212</v>
      </c>
      <c r="C435" s="253" t="s">
        <v>198</v>
      </c>
      <c r="D435" s="96">
        <v>3.6469999999999998</v>
      </c>
    </row>
    <row r="436" spans="1:4" x14ac:dyDescent="0.3">
      <c r="A436" s="251" t="s">
        <v>192</v>
      </c>
      <c r="B436" s="258" t="s">
        <v>1213</v>
      </c>
      <c r="C436" s="253" t="s">
        <v>198</v>
      </c>
      <c r="D436" s="96">
        <v>1.7969999999999999</v>
      </c>
    </row>
    <row r="437" spans="1:4" ht="27" x14ac:dyDescent="0.3">
      <c r="A437" s="251" t="s">
        <v>1216</v>
      </c>
      <c r="B437" s="258" t="s">
        <v>1217</v>
      </c>
      <c r="C437" s="253" t="s">
        <v>198</v>
      </c>
      <c r="D437" s="96">
        <v>6.2809999999999997</v>
      </c>
    </row>
    <row r="438" spans="1:4" ht="27" x14ac:dyDescent="0.3">
      <c r="A438" s="251" t="s">
        <v>195</v>
      </c>
      <c r="B438" s="258" t="s">
        <v>1218</v>
      </c>
      <c r="C438" s="253" t="s">
        <v>688</v>
      </c>
      <c r="D438" s="96">
        <v>1.2070000000000001</v>
      </c>
    </row>
    <row r="439" spans="1:4" ht="27" x14ac:dyDescent="0.3">
      <c r="A439" s="251" t="s">
        <v>1219</v>
      </c>
      <c r="B439" s="258" t="s">
        <v>1220</v>
      </c>
      <c r="C439" s="253" t="s">
        <v>273</v>
      </c>
      <c r="D439" s="96">
        <v>109.60899999999999</v>
      </c>
    </row>
    <row r="440" spans="1:4" x14ac:dyDescent="0.3">
      <c r="A440" s="251" t="s">
        <v>1221</v>
      </c>
      <c r="B440" s="258" t="s">
        <v>1222</v>
      </c>
      <c r="C440" s="253" t="s">
        <v>199</v>
      </c>
      <c r="D440" s="96">
        <v>0.58499999999999996</v>
      </c>
    </row>
    <row r="441" spans="1:4" ht="27" x14ac:dyDescent="0.3">
      <c r="A441" s="251" t="s">
        <v>1223</v>
      </c>
      <c r="B441" s="258" t="s">
        <v>1224</v>
      </c>
      <c r="C441" s="253" t="s">
        <v>209</v>
      </c>
      <c r="D441" s="96">
        <v>76.8</v>
      </c>
    </row>
    <row r="442" spans="1:4" ht="27" x14ac:dyDescent="0.3">
      <c r="A442" s="251" t="s">
        <v>1225</v>
      </c>
      <c r="B442" s="258" t="s">
        <v>1226</v>
      </c>
      <c r="C442" s="253" t="s">
        <v>284</v>
      </c>
      <c r="D442" s="96">
        <v>1.65</v>
      </c>
    </row>
    <row r="443" spans="1:4" x14ac:dyDescent="0.3">
      <c r="A443" s="251" t="s">
        <v>1227</v>
      </c>
      <c r="B443" s="258" t="s">
        <v>1228</v>
      </c>
      <c r="C443" s="253" t="s">
        <v>284</v>
      </c>
      <c r="D443" s="96">
        <v>73.882000000000005</v>
      </c>
    </row>
    <row r="444" spans="1:4" ht="27" x14ac:dyDescent="0.3">
      <c r="A444" s="251" t="s">
        <v>1229</v>
      </c>
      <c r="B444" s="258" t="s">
        <v>1230</v>
      </c>
      <c r="C444" s="253" t="s">
        <v>442</v>
      </c>
      <c r="D444" s="96">
        <v>6.165</v>
      </c>
    </row>
    <row r="445" spans="1:4" ht="27" x14ac:dyDescent="0.3">
      <c r="A445" s="251" t="s">
        <v>1231</v>
      </c>
      <c r="B445" s="258" t="s">
        <v>1232</v>
      </c>
      <c r="C445" s="253" t="s">
        <v>1233</v>
      </c>
      <c r="D445" s="96">
        <v>326.00799999999998</v>
      </c>
    </row>
    <row r="446" spans="1:4" ht="27" x14ac:dyDescent="0.3">
      <c r="A446" s="251" t="s">
        <v>1234</v>
      </c>
      <c r="B446" s="258" t="s">
        <v>1235</v>
      </c>
      <c r="C446" s="253" t="s">
        <v>198</v>
      </c>
      <c r="D446" s="96">
        <v>40.293999999999997</v>
      </c>
    </row>
    <row r="447" spans="1:4" x14ac:dyDescent="0.3">
      <c r="A447" s="251" t="s">
        <v>1236</v>
      </c>
      <c r="B447" s="258" t="s">
        <v>1237</v>
      </c>
      <c r="C447" s="253" t="s">
        <v>311</v>
      </c>
      <c r="D447" s="96">
        <v>3.5379999999999998</v>
      </c>
    </row>
    <row r="448" spans="1:4" ht="27" x14ac:dyDescent="0.3">
      <c r="A448" s="251" t="s">
        <v>1238</v>
      </c>
      <c r="B448" s="258" t="s">
        <v>1239</v>
      </c>
      <c r="C448" s="253" t="s">
        <v>198</v>
      </c>
      <c r="D448" s="96">
        <v>74.091999999999999</v>
      </c>
    </row>
    <row r="449" spans="1:4" x14ac:dyDescent="0.3">
      <c r="A449" s="251" t="s">
        <v>1240</v>
      </c>
      <c r="B449" s="258" t="s">
        <v>1241</v>
      </c>
      <c r="C449" s="253" t="s">
        <v>405</v>
      </c>
      <c r="D449" s="96">
        <v>27.257000000000001</v>
      </c>
    </row>
    <row r="450" spans="1:4" x14ac:dyDescent="0.3">
      <c r="A450" s="251" t="s">
        <v>1242</v>
      </c>
      <c r="B450" s="258" t="s">
        <v>1243</v>
      </c>
      <c r="C450" s="253" t="s">
        <v>442</v>
      </c>
      <c r="D450" s="96">
        <v>2.1680000000000001</v>
      </c>
    </row>
    <row r="451" spans="1:4" ht="27" x14ac:dyDescent="0.3">
      <c r="A451" s="251" t="s">
        <v>1244</v>
      </c>
      <c r="B451" s="258" t="s">
        <v>1245</v>
      </c>
      <c r="C451" s="253" t="s">
        <v>200</v>
      </c>
      <c r="D451" s="96">
        <v>39.280999999999999</v>
      </c>
    </row>
    <row r="452" spans="1:4" ht="27" x14ac:dyDescent="0.3">
      <c r="A452" s="251" t="s">
        <v>1246</v>
      </c>
      <c r="B452" s="258" t="s">
        <v>1247</v>
      </c>
      <c r="C452" s="253" t="s">
        <v>1248</v>
      </c>
      <c r="D452" s="96">
        <v>28.436</v>
      </c>
    </row>
    <row r="453" spans="1:4" ht="27" x14ac:dyDescent="0.3">
      <c r="A453" s="251" t="s">
        <v>1249</v>
      </c>
      <c r="B453" s="258" t="s">
        <v>1250</v>
      </c>
      <c r="C453" s="253" t="s">
        <v>1251</v>
      </c>
      <c r="D453" s="96">
        <v>202.119</v>
      </c>
    </row>
    <row r="454" spans="1:4" ht="27" x14ac:dyDescent="0.3">
      <c r="A454" s="251" t="s">
        <v>1252</v>
      </c>
      <c r="B454" s="258" t="s">
        <v>1253</v>
      </c>
      <c r="C454" s="253" t="s">
        <v>198</v>
      </c>
      <c r="D454" s="96">
        <v>25.727</v>
      </c>
    </row>
    <row r="455" spans="1:4" x14ac:dyDescent="0.3">
      <c r="A455" s="251" t="s">
        <v>1254</v>
      </c>
      <c r="B455" s="258" t="s">
        <v>1255</v>
      </c>
      <c r="C455" s="253" t="s">
        <v>209</v>
      </c>
      <c r="D455" s="96">
        <v>3203.1080000000002</v>
      </c>
    </row>
    <row r="456" spans="1:4" x14ac:dyDescent="0.3">
      <c r="A456" s="251" t="s">
        <v>1256</v>
      </c>
      <c r="B456" s="258" t="s">
        <v>1257</v>
      </c>
      <c r="C456" s="253" t="s">
        <v>209</v>
      </c>
      <c r="D456" s="96">
        <v>27749.065999999999</v>
      </c>
    </row>
    <row r="457" spans="1:4" x14ac:dyDescent="0.3">
      <c r="A457" s="251" t="s">
        <v>1258</v>
      </c>
      <c r="B457" s="258" t="s">
        <v>1259</v>
      </c>
      <c r="C457" s="253" t="s">
        <v>198</v>
      </c>
      <c r="D457" s="96">
        <v>144.67099999999999</v>
      </c>
    </row>
    <row r="458" spans="1:4" ht="27" x14ac:dyDescent="0.3">
      <c r="A458" s="251" t="s">
        <v>1545</v>
      </c>
      <c r="B458" s="258" t="s">
        <v>1818</v>
      </c>
      <c r="C458" s="253" t="s">
        <v>199</v>
      </c>
      <c r="D458" s="96">
        <v>292.88600000000002</v>
      </c>
    </row>
    <row r="459" spans="1:4" ht="27" x14ac:dyDescent="0.3">
      <c r="A459" s="251" t="s">
        <v>1260</v>
      </c>
      <c r="B459" s="258" t="s">
        <v>1261</v>
      </c>
      <c r="C459" s="253" t="s">
        <v>209</v>
      </c>
      <c r="D459" s="96">
        <v>1468.85</v>
      </c>
    </row>
    <row r="460" spans="1:4" ht="27" x14ac:dyDescent="0.3">
      <c r="A460" s="251" t="s">
        <v>193</v>
      </c>
      <c r="B460" s="258" t="s">
        <v>1262</v>
      </c>
      <c r="C460" s="253" t="s">
        <v>200</v>
      </c>
      <c r="D460" s="96">
        <v>0.29599999999999999</v>
      </c>
    </row>
    <row r="461" spans="1:4" ht="27" x14ac:dyDescent="0.3">
      <c r="A461" s="251" t="s">
        <v>1263</v>
      </c>
      <c r="B461" s="258" t="s">
        <v>1262</v>
      </c>
      <c r="C461" s="253" t="s">
        <v>209</v>
      </c>
      <c r="D461" s="96">
        <v>2.9550000000000001</v>
      </c>
    </row>
    <row r="462" spans="1:4" x14ac:dyDescent="0.3">
      <c r="A462" s="251" t="s">
        <v>1264</v>
      </c>
      <c r="B462" s="258" t="s">
        <v>1265</v>
      </c>
      <c r="C462" s="253" t="s">
        <v>209</v>
      </c>
      <c r="D462" s="96">
        <v>152.006</v>
      </c>
    </row>
    <row r="463" spans="1:4" x14ac:dyDescent="0.3">
      <c r="A463" s="251" t="s">
        <v>1268</v>
      </c>
      <c r="B463" s="258" t="s">
        <v>1269</v>
      </c>
      <c r="C463" s="253" t="s">
        <v>396</v>
      </c>
      <c r="D463" s="96">
        <v>0.17799999999999999</v>
      </c>
    </row>
    <row r="464" spans="1:4" ht="27" x14ac:dyDescent="0.3">
      <c r="A464" s="251" t="s">
        <v>1270</v>
      </c>
      <c r="B464" s="258" t="s">
        <v>1271</v>
      </c>
      <c r="C464" s="253" t="s">
        <v>198</v>
      </c>
      <c r="D464" s="96">
        <v>10.752000000000001</v>
      </c>
    </row>
    <row r="465" spans="1:4" ht="27" x14ac:dyDescent="0.3">
      <c r="A465" s="251" t="s">
        <v>1272</v>
      </c>
      <c r="B465" s="258" t="s">
        <v>1273</v>
      </c>
      <c r="C465" s="253" t="s">
        <v>1274</v>
      </c>
      <c r="D465" s="96">
        <v>13915.101000000001</v>
      </c>
    </row>
    <row r="466" spans="1:4" x14ac:dyDescent="0.3">
      <c r="A466" s="251" t="s">
        <v>1275</v>
      </c>
      <c r="B466" s="258" t="s">
        <v>1276</v>
      </c>
      <c r="C466" s="253" t="s">
        <v>198</v>
      </c>
      <c r="D466" s="96">
        <v>0.14399999999999999</v>
      </c>
    </row>
    <row r="467" spans="1:4" x14ac:dyDescent="0.3">
      <c r="A467" s="251" t="s">
        <v>1277</v>
      </c>
      <c r="B467" s="258" t="s">
        <v>1278</v>
      </c>
      <c r="C467" s="253" t="s">
        <v>199</v>
      </c>
      <c r="D467" s="96">
        <v>2057.0859999999998</v>
      </c>
    </row>
    <row r="468" spans="1:4" x14ac:dyDescent="0.3">
      <c r="A468" s="250" t="s">
        <v>1279</v>
      </c>
      <c r="B468" s="258" t="s">
        <v>1280</v>
      </c>
      <c r="C468" s="259" t="s">
        <v>198</v>
      </c>
      <c r="D468" s="96">
        <v>47.177999999999997</v>
      </c>
    </row>
    <row r="469" spans="1:4" x14ac:dyDescent="0.3">
      <c r="A469" s="251" t="s">
        <v>1281</v>
      </c>
      <c r="B469" s="258" t="s">
        <v>1282</v>
      </c>
      <c r="C469" s="253" t="s">
        <v>200</v>
      </c>
      <c r="D469" s="96">
        <v>121.453</v>
      </c>
    </row>
    <row r="470" spans="1:4" ht="27" x14ac:dyDescent="0.3">
      <c r="A470" s="251" t="s">
        <v>1285</v>
      </c>
      <c r="B470" s="258" t="s">
        <v>1286</v>
      </c>
      <c r="C470" s="253" t="s">
        <v>200</v>
      </c>
      <c r="D470" s="96">
        <v>37.872999999999998</v>
      </c>
    </row>
    <row r="471" spans="1:4" ht="27" x14ac:dyDescent="0.3">
      <c r="A471" s="251" t="s">
        <v>1287</v>
      </c>
      <c r="B471" s="258" t="s">
        <v>1288</v>
      </c>
      <c r="C471" s="259" t="s">
        <v>198</v>
      </c>
      <c r="D471" s="96">
        <v>5.327</v>
      </c>
    </row>
    <row r="472" spans="1:4" x14ac:dyDescent="0.3">
      <c r="A472" s="250" t="s">
        <v>1289</v>
      </c>
      <c r="B472" s="258" t="s">
        <v>1290</v>
      </c>
      <c r="C472" s="259" t="s">
        <v>198</v>
      </c>
      <c r="D472" s="96">
        <v>26.422000000000001</v>
      </c>
    </row>
    <row r="473" spans="1:4" x14ac:dyDescent="0.3">
      <c r="A473" s="251" t="s">
        <v>1291</v>
      </c>
      <c r="B473" s="258" t="s">
        <v>1292</v>
      </c>
      <c r="C473" s="253" t="s">
        <v>199</v>
      </c>
      <c r="D473" s="96">
        <v>58.783999999999999</v>
      </c>
    </row>
    <row r="474" spans="1:4" ht="27" x14ac:dyDescent="0.3">
      <c r="A474" s="251" t="s">
        <v>1293</v>
      </c>
      <c r="B474" s="258" t="s">
        <v>1294</v>
      </c>
      <c r="C474" s="253" t="s">
        <v>199</v>
      </c>
      <c r="D474" s="96">
        <v>54.838999999999999</v>
      </c>
    </row>
    <row r="475" spans="1:4" ht="27" x14ac:dyDescent="0.3">
      <c r="A475" s="251" t="s">
        <v>1295</v>
      </c>
      <c r="B475" s="258" t="s">
        <v>1296</v>
      </c>
      <c r="C475" s="253" t="s">
        <v>199</v>
      </c>
      <c r="D475" s="96">
        <v>109.399</v>
      </c>
    </row>
    <row r="476" spans="1:4" ht="27" x14ac:dyDescent="0.3">
      <c r="A476" s="251" t="s">
        <v>1297</v>
      </c>
      <c r="B476" s="258" t="s">
        <v>1298</v>
      </c>
      <c r="C476" s="253" t="s">
        <v>199</v>
      </c>
      <c r="D476" s="96">
        <v>64.742000000000004</v>
      </c>
    </row>
    <row r="477" spans="1:4" ht="27" x14ac:dyDescent="0.3">
      <c r="A477" s="250" t="s">
        <v>1299</v>
      </c>
      <c r="B477" s="258" t="s">
        <v>1300</v>
      </c>
      <c r="C477" s="259" t="s">
        <v>198</v>
      </c>
      <c r="D477" s="96">
        <v>11.114000000000001</v>
      </c>
    </row>
    <row r="478" spans="1:4" ht="27" x14ac:dyDescent="0.3">
      <c r="A478" s="251" t="s">
        <v>1301</v>
      </c>
      <c r="B478" s="258" t="s">
        <v>1302</v>
      </c>
      <c r="C478" s="253" t="s">
        <v>198</v>
      </c>
      <c r="D478" s="96">
        <v>247.602</v>
      </c>
    </row>
    <row r="479" spans="1:4" ht="27" x14ac:dyDescent="0.3">
      <c r="A479" s="250" t="s">
        <v>1303</v>
      </c>
      <c r="B479" s="258" t="s">
        <v>1304</v>
      </c>
      <c r="C479" s="259" t="s">
        <v>200</v>
      </c>
      <c r="D479" s="96">
        <v>56.56</v>
      </c>
    </row>
    <row r="480" spans="1:4" x14ac:dyDescent="0.3">
      <c r="A480" s="251" t="s">
        <v>2415</v>
      </c>
      <c r="B480" s="258" t="s">
        <v>2416</v>
      </c>
      <c r="C480" s="253" t="s">
        <v>257</v>
      </c>
      <c r="D480" s="96">
        <v>842.39499999999998</v>
      </c>
    </row>
    <row r="481" spans="1:4" ht="27" x14ac:dyDescent="0.3">
      <c r="A481" s="251" t="s">
        <v>1310</v>
      </c>
      <c r="B481" s="258" t="s">
        <v>1311</v>
      </c>
      <c r="C481" s="253" t="s">
        <v>198</v>
      </c>
      <c r="D481" s="96">
        <v>319.44799999999998</v>
      </c>
    </row>
    <row r="482" spans="1:4" ht="27" x14ac:dyDescent="0.3">
      <c r="A482" s="251" t="s">
        <v>1312</v>
      </c>
      <c r="B482" s="258" t="s">
        <v>1313</v>
      </c>
      <c r="C482" s="253" t="s">
        <v>405</v>
      </c>
      <c r="D482" s="96">
        <v>319.03899999999999</v>
      </c>
    </row>
    <row r="483" spans="1:4" ht="27" x14ac:dyDescent="0.3">
      <c r="A483" s="251" t="s">
        <v>1314</v>
      </c>
      <c r="B483" s="258" t="s">
        <v>1315</v>
      </c>
      <c r="C483" s="253" t="s">
        <v>1316</v>
      </c>
      <c r="D483" s="96">
        <v>47.061</v>
      </c>
    </row>
    <row r="484" spans="1:4" ht="27" x14ac:dyDescent="0.3">
      <c r="A484" s="251" t="s">
        <v>1317</v>
      </c>
      <c r="B484" s="258" t="s">
        <v>1318</v>
      </c>
      <c r="C484" s="253" t="s">
        <v>198</v>
      </c>
      <c r="D484" s="96">
        <v>8.7959999999999994</v>
      </c>
    </row>
    <row r="485" spans="1:4" ht="27" x14ac:dyDescent="0.3">
      <c r="A485" s="251" t="s">
        <v>1319</v>
      </c>
      <c r="B485" s="258" t="s">
        <v>1320</v>
      </c>
      <c r="C485" s="253" t="s">
        <v>198</v>
      </c>
      <c r="D485" s="96">
        <v>69.977999999999994</v>
      </c>
    </row>
    <row r="486" spans="1:4" x14ac:dyDescent="0.3">
      <c r="A486" s="251" t="s">
        <v>1323</v>
      </c>
      <c r="B486" s="258" t="s">
        <v>1324</v>
      </c>
      <c r="C486" s="253" t="s">
        <v>273</v>
      </c>
      <c r="D486" s="96">
        <v>1.0840000000000001</v>
      </c>
    </row>
    <row r="487" spans="1:4" ht="27" x14ac:dyDescent="0.3">
      <c r="A487" s="251" t="s">
        <v>1325</v>
      </c>
      <c r="B487" s="258" t="s">
        <v>1326</v>
      </c>
      <c r="C487" s="253" t="s">
        <v>273</v>
      </c>
      <c r="D487" s="96">
        <v>286.42500000000001</v>
      </c>
    </row>
    <row r="488" spans="1:4" ht="40.200000000000003" x14ac:dyDescent="0.3">
      <c r="A488" s="250" t="s">
        <v>1327</v>
      </c>
      <c r="B488" s="258" t="s">
        <v>1328</v>
      </c>
      <c r="C488" s="259" t="s">
        <v>198</v>
      </c>
      <c r="D488" s="96">
        <v>29.791</v>
      </c>
    </row>
    <row r="489" spans="1:4" ht="27" x14ac:dyDescent="0.3">
      <c r="A489" s="251" t="s">
        <v>1329</v>
      </c>
      <c r="B489" s="258" t="s">
        <v>1819</v>
      </c>
      <c r="C489" s="253" t="s">
        <v>199</v>
      </c>
      <c r="D489" s="96">
        <v>96.631</v>
      </c>
    </row>
    <row r="490" spans="1:4" x14ac:dyDescent="0.3">
      <c r="A490" s="251" t="s">
        <v>1333</v>
      </c>
      <c r="B490" s="258" t="s">
        <v>1334</v>
      </c>
      <c r="C490" s="253" t="s">
        <v>442</v>
      </c>
      <c r="D490" s="96">
        <v>1161.9459999999999</v>
      </c>
    </row>
    <row r="491" spans="1:4" ht="27" x14ac:dyDescent="0.3">
      <c r="A491" s="251" t="s">
        <v>1335</v>
      </c>
      <c r="B491" s="258" t="s">
        <v>1336</v>
      </c>
      <c r="C491" s="253" t="s">
        <v>198</v>
      </c>
      <c r="D491" s="96">
        <v>3.4809999999999999</v>
      </c>
    </row>
    <row r="492" spans="1:4" ht="27" x14ac:dyDescent="0.3">
      <c r="A492" s="251" t="s">
        <v>1337</v>
      </c>
      <c r="B492" s="258" t="s">
        <v>1338</v>
      </c>
      <c r="C492" s="253" t="s">
        <v>198</v>
      </c>
      <c r="D492" s="96">
        <v>4.9160000000000004</v>
      </c>
    </row>
    <row r="493" spans="1:4" ht="27" x14ac:dyDescent="0.3">
      <c r="A493" s="251" t="s">
        <v>1339</v>
      </c>
      <c r="B493" s="258" t="s">
        <v>1340</v>
      </c>
      <c r="C493" s="253" t="s">
        <v>198</v>
      </c>
      <c r="D493" s="96">
        <v>2600.3620000000001</v>
      </c>
    </row>
    <row r="494" spans="1:4" ht="27" x14ac:dyDescent="0.3">
      <c r="A494" s="251" t="s">
        <v>1341</v>
      </c>
      <c r="B494" s="258" t="s">
        <v>1342</v>
      </c>
      <c r="C494" s="253" t="s">
        <v>199</v>
      </c>
      <c r="D494" s="96">
        <v>9.4290000000000003</v>
      </c>
    </row>
    <row r="495" spans="1:4" x14ac:dyDescent="0.3">
      <c r="A495" s="251" t="s">
        <v>1343</v>
      </c>
      <c r="B495" s="258" t="s">
        <v>1344</v>
      </c>
      <c r="C495" s="253" t="s">
        <v>553</v>
      </c>
      <c r="D495" s="96">
        <v>96.180999999999997</v>
      </c>
    </row>
    <row r="496" spans="1:4" ht="27" x14ac:dyDescent="0.3">
      <c r="A496" s="250" t="s">
        <v>1345</v>
      </c>
      <c r="B496" s="258" t="s">
        <v>1346</v>
      </c>
      <c r="C496" s="259" t="s">
        <v>198</v>
      </c>
      <c r="D496" s="96">
        <v>8.048</v>
      </c>
    </row>
    <row r="497" spans="1:4" ht="27" x14ac:dyDescent="0.3">
      <c r="A497" s="251" t="s">
        <v>1347</v>
      </c>
      <c r="B497" s="258" t="s">
        <v>1348</v>
      </c>
      <c r="C497" s="253" t="s">
        <v>522</v>
      </c>
      <c r="D497" s="96">
        <v>11.798999999999999</v>
      </c>
    </row>
    <row r="498" spans="1:4" ht="27" x14ac:dyDescent="0.3">
      <c r="A498" s="251" t="s">
        <v>1349</v>
      </c>
      <c r="B498" s="258" t="s">
        <v>1350</v>
      </c>
      <c r="C498" s="253" t="s">
        <v>951</v>
      </c>
      <c r="D498" s="96">
        <v>54.72</v>
      </c>
    </row>
    <row r="499" spans="1:4" ht="27" x14ac:dyDescent="0.3">
      <c r="A499" s="251" t="s">
        <v>1351</v>
      </c>
      <c r="B499" s="258" t="s">
        <v>1352</v>
      </c>
      <c r="C499" s="253" t="s">
        <v>1353</v>
      </c>
      <c r="D499" s="96">
        <v>22.488</v>
      </c>
    </row>
    <row r="500" spans="1:4" ht="27" x14ac:dyDescent="0.3">
      <c r="A500" s="251" t="s">
        <v>1354</v>
      </c>
      <c r="B500" s="258" t="s">
        <v>1355</v>
      </c>
      <c r="C500" s="253" t="s">
        <v>522</v>
      </c>
      <c r="D500" s="96">
        <v>53.438000000000002</v>
      </c>
    </row>
    <row r="501" spans="1:4" ht="27" x14ac:dyDescent="0.3">
      <c r="A501" s="100" t="s">
        <v>1356</v>
      </c>
      <c r="B501" s="258" t="s">
        <v>1357</v>
      </c>
      <c r="C501" s="253" t="s">
        <v>198</v>
      </c>
      <c r="D501" s="96">
        <v>0.89100000000000001</v>
      </c>
    </row>
    <row r="502" spans="1:4" ht="27" x14ac:dyDescent="0.3">
      <c r="A502" s="100" t="s">
        <v>1358</v>
      </c>
      <c r="B502" s="258" t="s">
        <v>1359</v>
      </c>
      <c r="C502" s="253" t="s">
        <v>198</v>
      </c>
      <c r="D502" s="96">
        <v>0.89100000000000001</v>
      </c>
    </row>
    <row r="503" spans="1:4" x14ac:dyDescent="0.3">
      <c r="A503" s="251" t="s">
        <v>1360</v>
      </c>
      <c r="B503" s="258" t="s">
        <v>1361</v>
      </c>
      <c r="C503" s="253" t="s">
        <v>198</v>
      </c>
      <c r="D503" s="96">
        <v>3.5000000000000003E-2</v>
      </c>
    </row>
    <row r="504" spans="1:4" ht="27" x14ac:dyDescent="0.3">
      <c r="A504" s="251" t="s">
        <v>1362</v>
      </c>
      <c r="B504" s="258" t="s">
        <v>1363</v>
      </c>
      <c r="C504" s="253" t="s">
        <v>209</v>
      </c>
      <c r="D504" s="96">
        <v>0.26800000000000002</v>
      </c>
    </row>
    <row r="505" spans="1:4" ht="27" x14ac:dyDescent="0.3">
      <c r="A505" s="251" t="s">
        <v>1364</v>
      </c>
      <c r="B505" s="258" t="s">
        <v>1365</v>
      </c>
      <c r="C505" s="253" t="s">
        <v>200</v>
      </c>
      <c r="D505" s="96">
        <v>4.2000000000000003E-2</v>
      </c>
    </row>
    <row r="506" spans="1:4" ht="27" x14ac:dyDescent="0.3">
      <c r="A506" s="251" t="s">
        <v>1366</v>
      </c>
      <c r="B506" s="258" t="s">
        <v>1367</v>
      </c>
      <c r="C506" s="253" t="s">
        <v>198</v>
      </c>
      <c r="D506" s="96">
        <v>2.3570000000000002</v>
      </c>
    </row>
    <row r="507" spans="1:4" ht="27" x14ac:dyDescent="0.3">
      <c r="A507" s="251" t="s">
        <v>1368</v>
      </c>
      <c r="B507" s="258" t="s">
        <v>1369</v>
      </c>
      <c r="C507" s="253" t="s">
        <v>1134</v>
      </c>
      <c r="D507" s="96">
        <v>4.1589999999999998</v>
      </c>
    </row>
    <row r="508" spans="1:4" ht="27" x14ac:dyDescent="0.3">
      <c r="A508" s="251" t="s">
        <v>1370</v>
      </c>
      <c r="B508" s="258" t="s">
        <v>1371</v>
      </c>
      <c r="C508" s="253" t="s">
        <v>848</v>
      </c>
      <c r="D508" s="96">
        <v>4.2000000000000003E-2</v>
      </c>
    </row>
    <row r="509" spans="1:4" ht="27" x14ac:dyDescent="0.3">
      <c r="A509" s="251" t="s">
        <v>1372</v>
      </c>
      <c r="B509" s="258" t="s">
        <v>1373</v>
      </c>
      <c r="C509" s="254" t="s">
        <v>214</v>
      </c>
      <c r="D509" s="34">
        <v>16.283949999999997</v>
      </c>
    </row>
    <row r="510" spans="1:4" ht="27" x14ac:dyDescent="0.3">
      <c r="A510" s="251" t="s">
        <v>2417</v>
      </c>
      <c r="B510" s="258" t="s">
        <v>2418</v>
      </c>
      <c r="C510" s="253" t="s">
        <v>216</v>
      </c>
      <c r="D510" s="34">
        <v>16.283949999999997</v>
      </c>
    </row>
    <row r="511" spans="1:4" ht="27" x14ac:dyDescent="0.3">
      <c r="A511" s="251" t="s">
        <v>1374</v>
      </c>
      <c r="B511" s="258" t="s">
        <v>1375</v>
      </c>
      <c r="C511" s="253" t="s">
        <v>1376</v>
      </c>
      <c r="D511" s="96">
        <v>39556.883000000002</v>
      </c>
    </row>
    <row r="512" spans="1:4" ht="27" x14ac:dyDescent="0.3">
      <c r="A512" s="251" t="s">
        <v>191</v>
      </c>
      <c r="B512" s="258" t="s">
        <v>1377</v>
      </c>
      <c r="C512" s="253" t="s">
        <v>199</v>
      </c>
      <c r="D512" s="96">
        <v>383.827</v>
      </c>
    </row>
    <row r="513" spans="1:4" ht="27" x14ac:dyDescent="0.3">
      <c r="A513" s="251" t="s">
        <v>1378</v>
      </c>
      <c r="B513" s="258" t="s">
        <v>1379</v>
      </c>
      <c r="C513" s="261" t="s">
        <v>452</v>
      </c>
      <c r="D513" s="96">
        <v>50.264000000000003</v>
      </c>
    </row>
    <row r="514" spans="1:4" ht="27" x14ac:dyDescent="0.3">
      <c r="A514" s="251" t="s">
        <v>1380</v>
      </c>
      <c r="B514" s="258" t="s">
        <v>1381</v>
      </c>
      <c r="C514" s="255" t="s">
        <v>1382</v>
      </c>
      <c r="D514" s="96">
        <v>126.598</v>
      </c>
    </row>
    <row r="515" spans="1:4" ht="27" x14ac:dyDescent="0.3">
      <c r="A515" s="251" t="s">
        <v>1383</v>
      </c>
      <c r="B515" s="258" t="s">
        <v>1384</v>
      </c>
      <c r="C515" s="253" t="s">
        <v>360</v>
      </c>
      <c r="D515" s="96">
        <v>1.3759999999999999</v>
      </c>
    </row>
    <row r="516" spans="1:4" x14ac:dyDescent="0.3">
      <c r="A516" s="251" t="s">
        <v>1385</v>
      </c>
      <c r="B516" s="258" t="s">
        <v>1386</v>
      </c>
      <c r="C516" s="253" t="s">
        <v>1042</v>
      </c>
      <c r="D516" s="96">
        <v>30.872</v>
      </c>
    </row>
    <row r="517" spans="1:4" x14ac:dyDescent="0.3">
      <c r="A517" s="251" t="s">
        <v>1387</v>
      </c>
      <c r="B517" s="258" t="s">
        <v>1388</v>
      </c>
      <c r="C517" s="253" t="s">
        <v>1042</v>
      </c>
      <c r="D517" s="96">
        <v>10.989000000000001</v>
      </c>
    </row>
    <row r="518" spans="1:4" x14ac:dyDescent="0.3">
      <c r="A518" s="251" t="s">
        <v>1389</v>
      </c>
      <c r="B518" s="258" t="s">
        <v>1390</v>
      </c>
      <c r="C518" s="253" t="s">
        <v>1042</v>
      </c>
      <c r="D518" s="96">
        <v>33.073999999999998</v>
      </c>
    </row>
    <row r="519" spans="1:4" x14ac:dyDescent="0.3">
      <c r="A519" s="251" t="s">
        <v>1391</v>
      </c>
      <c r="B519" s="258" t="s">
        <v>1392</v>
      </c>
      <c r="C519" s="253" t="s">
        <v>1042</v>
      </c>
      <c r="D519" s="96">
        <v>93.323999999999998</v>
      </c>
    </row>
    <row r="520" spans="1:4" x14ac:dyDescent="0.3">
      <c r="A520" s="251" t="s">
        <v>1395</v>
      </c>
      <c r="B520" s="258" t="s">
        <v>1396</v>
      </c>
      <c r="C520" s="253" t="s">
        <v>1042</v>
      </c>
      <c r="D520" s="96">
        <v>7.3659999999999997</v>
      </c>
    </row>
    <row r="521" spans="1:4" x14ac:dyDescent="0.3">
      <c r="A521" s="251" t="s">
        <v>1397</v>
      </c>
      <c r="B521" s="258" t="s">
        <v>1398</v>
      </c>
      <c r="C521" s="253" t="s">
        <v>574</v>
      </c>
      <c r="D521" s="96">
        <v>200.04900000000001</v>
      </c>
    </row>
    <row r="522" spans="1:4" x14ac:dyDescent="0.3">
      <c r="A522" s="251" t="s">
        <v>1399</v>
      </c>
      <c r="B522" s="258" t="s">
        <v>1400</v>
      </c>
      <c r="C522" s="253" t="s">
        <v>574</v>
      </c>
      <c r="D522" s="96">
        <v>200.04900000000001</v>
      </c>
    </row>
    <row r="523" spans="1:4" x14ac:dyDescent="0.3">
      <c r="A523" s="251" t="s">
        <v>1401</v>
      </c>
      <c r="B523" s="258" t="s">
        <v>1402</v>
      </c>
      <c r="C523" s="254" t="s">
        <v>1042</v>
      </c>
      <c r="D523" s="96">
        <v>7.5430000000000001</v>
      </c>
    </row>
    <row r="524" spans="1:4" x14ac:dyDescent="0.3">
      <c r="A524" s="251" t="s">
        <v>2419</v>
      </c>
      <c r="B524" s="258" t="s">
        <v>2420</v>
      </c>
      <c r="C524" s="253" t="s">
        <v>1042</v>
      </c>
      <c r="D524" s="96">
        <v>31.434999999999999</v>
      </c>
    </row>
    <row r="525" spans="1:4" x14ac:dyDescent="0.3">
      <c r="A525" s="251" t="s">
        <v>1403</v>
      </c>
      <c r="B525" s="258" t="s">
        <v>1404</v>
      </c>
      <c r="C525" s="254" t="s">
        <v>1042</v>
      </c>
      <c r="D525" s="96">
        <v>41.863</v>
      </c>
    </row>
    <row r="526" spans="1:4" x14ac:dyDescent="0.3">
      <c r="A526" s="251" t="s">
        <v>2297</v>
      </c>
      <c r="B526" s="258" t="s">
        <v>1402</v>
      </c>
      <c r="C526" s="254" t="s">
        <v>1042</v>
      </c>
      <c r="D526" s="96">
        <v>32.436</v>
      </c>
    </row>
    <row r="527" spans="1:4" x14ac:dyDescent="0.3">
      <c r="A527" s="251" t="s">
        <v>2421</v>
      </c>
      <c r="B527" s="258" t="s">
        <v>2422</v>
      </c>
      <c r="C527" s="254" t="s">
        <v>1042</v>
      </c>
      <c r="D527" s="96">
        <v>162.01300000000001</v>
      </c>
    </row>
    <row r="528" spans="1:4" x14ac:dyDescent="0.3">
      <c r="A528" s="251" t="s">
        <v>1405</v>
      </c>
      <c r="B528" s="258" t="s">
        <v>2423</v>
      </c>
      <c r="C528" s="254" t="s">
        <v>1042</v>
      </c>
      <c r="D528" s="96">
        <v>136.863</v>
      </c>
    </row>
    <row r="529" spans="1:4" x14ac:dyDescent="0.3">
      <c r="A529" s="251" t="s">
        <v>1407</v>
      </c>
      <c r="B529" s="258" t="s">
        <v>2424</v>
      </c>
      <c r="C529" s="254" t="s">
        <v>1042</v>
      </c>
      <c r="D529" s="96">
        <v>138.411</v>
      </c>
    </row>
    <row r="530" spans="1:4" ht="27" x14ac:dyDescent="0.3">
      <c r="A530" s="251" t="s">
        <v>1429</v>
      </c>
      <c r="B530" s="258" t="s">
        <v>2425</v>
      </c>
      <c r="C530" s="256" t="s">
        <v>452</v>
      </c>
      <c r="D530" s="96">
        <v>0.73010343283794576</v>
      </c>
    </row>
    <row r="531" spans="1:4" ht="27" x14ac:dyDescent="0.3">
      <c r="A531" s="251" t="s">
        <v>2426</v>
      </c>
      <c r="B531" s="258" t="s">
        <v>2427</v>
      </c>
      <c r="C531" s="253" t="s">
        <v>199</v>
      </c>
      <c r="D531" s="96">
        <v>80.191602000000003</v>
      </c>
    </row>
    <row r="532" spans="1:4" ht="27" x14ac:dyDescent="0.3">
      <c r="A532" s="250" t="s">
        <v>1445</v>
      </c>
      <c r="B532" s="258" t="s">
        <v>1446</v>
      </c>
      <c r="C532" s="259" t="s">
        <v>204</v>
      </c>
      <c r="D532" s="96">
        <v>21.088000000000001</v>
      </c>
    </row>
    <row r="533" spans="1:4" ht="40.200000000000003" x14ac:dyDescent="0.3">
      <c r="A533" s="251" t="s">
        <v>1447</v>
      </c>
      <c r="B533" s="258" t="s">
        <v>1448</v>
      </c>
      <c r="C533" s="253" t="s">
        <v>204</v>
      </c>
      <c r="D533" s="96">
        <v>34.143999999999998</v>
      </c>
    </row>
    <row r="534" spans="1:4" ht="27" x14ac:dyDescent="0.3">
      <c r="A534" s="251" t="s">
        <v>1449</v>
      </c>
      <c r="B534" s="258" t="s">
        <v>1450</v>
      </c>
      <c r="C534" s="253" t="s">
        <v>204</v>
      </c>
      <c r="D534" s="96">
        <v>51.216000000000001</v>
      </c>
    </row>
    <row r="535" spans="1:4" ht="27" x14ac:dyDescent="0.3">
      <c r="A535" s="251" t="s">
        <v>1451</v>
      </c>
      <c r="B535" s="258" t="s">
        <v>1452</v>
      </c>
      <c r="C535" s="253" t="s">
        <v>204</v>
      </c>
      <c r="D535" s="96">
        <v>8.5000000000000006E-2</v>
      </c>
    </row>
    <row r="536" spans="1:4" ht="40.200000000000003" x14ac:dyDescent="0.3">
      <c r="A536" s="251" t="s">
        <v>1610</v>
      </c>
      <c r="B536" s="258" t="s">
        <v>1611</v>
      </c>
      <c r="C536" s="253" t="s">
        <v>204</v>
      </c>
      <c r="D536" s="96">
        <v>0.27700000000000002</v>
      </c>
    </row>
    <row r="537" spans="1:4" ht="40.200000000000003" x14ac:dyDescent="0.3">
      <c r="A537" s="251" t="s">
        <v>1612</v>
      </c>
      <c r="B537" s="258" t="s">
        <v>1613</v>
      </c>
      <c r="C537" s="253" t="s">
        <v>204</v>
      </c>
      <c r="D537" s="96">
        <v>0.252</v>
      </c>
    </row>
    <row r="538" spans="1:4" ht="40.200000000000003" x14ac:dyDescent="0.3">
      <c r="A538" s="251" t="s">
        <v>1453</v>
      </c>
      <c r="B538" s="258" t="s">
        <v>1454</v>
      </c>
      <c r="C538" s="253" t="s">
        <v>204</v>
      </c>
      <c r="D538" s="96">
        <v>0.19</v>
      </c>
    </row>
    <row r="539" spans="1:4" ht="40.200000000000003" x14ac:dyDescent="0.3">
      <c r="A539" s="251" t="s">
        <v>1455</v>
      </c>
      <c r="B539" s="258" t="s">
        <v>1456</v>
      </c>
      <c r="C539" s="253" t="s">
        <v>204</v>
      </c>
      <c r="D539" s="96">
        <v>0.77</v>
      </c>
    </row>
    <row r="540" spans="1:4" ht="40.200000000000003" x14ac:dyDescent="0.3">
      <c r="A540" s="251" t="s">
        <v>1457</v>
      </c>
      <c r="B540" s="258" t="s">
        <v>1458</v>
      </c>
      <c r="C540" s="253" t="s">
        <v>204</v>
      </c>
      <c r="D540" s="96">
        <v>0.32700000000000001</v>
      </c>
    </row>
    <row r="541" spans="1:4" ht="40.200000000000003" x14ac:dyDescent="0.3">
      <c r="A541" s="251" t="s">
        <v>1459</v>
      </c>
      <c r="B541" s="258" t="s">
        <v>1460</v>
      </c>
      <c r="C541" s="253" t="s">
        <v>204</v>
      </c>
      <c r="D541" s="96">
        <v>0.125</v>
      </c>
    </row>
    <row r="542" spans="1:4" ht="27" x14ac:dyDescent="0.3">
      <c r="A542" s="267" t="s">
        <v>2428</v>
      </c>
      <c r="B542" s="268" t="s">
        <v>2429</v>
      </c>
      <c r="C542" s="37" t="s">
        <v>198</v>
      </c>
      <c r="D542" s="107">
        <v>12.877000000000001</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9C3A4-1A8D-4E5E-968A-B43670EB3E6B}">
  <dimension ref="A1:F549"/>
  <sheetViews>
    <sheetView topLeftCell="A459" workbookViewId="0">
      <selection activeCell="D477" sqref="D477"/>
    </sheetView>
  </sheetViews>
  <sheetFormatPr defaultRowHeight="14.4" x14ac:dyDescent="0.3"/>
  <cols>
    <col min="1" max="1" width="13.77734375" customWidth="1"/>
    <col min="2" max="2" width="18.44140625" customWidth="1"/>
    <col min="3" max="3" width="20.5546875" customWidth="1"/>
    <col min="4" max="4" width="15.77734375" customWidth="1"/>
  </cols>
  <sheetData>
    <row r="1" spans="1:4" x14ac:dyDescent="0.3">
      <c r="A1" s="344" t="s">
        <v>201</v>
      </c>
      <c r="B1" s="344" t="s">
        <v>202</v>
      </c>
      <c r="C1" s="344" t="s">
        <v>196</v>
      </c>
      <c r="D1" s="344" t="s">
        <v>197</v>
      </c>
    </row>
    <row r="2" spans="1:4" x14ac:dyDescent="0.3">
      <c r="A2">
        <v>90371</v>
      </c>
      <c r="B2" t="s">
        <v>203</v>
      </c>
      <c r="C2" t="s">
        <v>204</v>
      </c>
      <c r="D2">
        <v>116.001</v>
      </c>
    </row>
    <row r="3" spans="1:4" x14ac:dyDescent="0.3">
      <c r="A3">
        <v>90375</v>
      </c>
      <c r="B3" t="s">
        <v>205</v>
      </c>
      <c r="C3" t="s">
        <v>206</v>
      </c>
      <c r="D3">
        <v>302.47000000000003</v>
      </c>
    </row>
    <row r="4" spans="1:4" x14ac:dyDescent="0.3">
      <c r="A4">
        <v>90376</v>
      </c>
      <c r="B4" t="s">
        <v>207</v>
      </c>
      <c r="C4" t="s">
        <v>206</v>
      </c>
      <c r="D4">
        <v>332.43099999999998</v>
      </c>
    </row>
    <row r="5" spans="1:4" x14ac:dyDescent="0.3">
      <c r="A5">
        <v>90585</v>
      </c>
      <c r="B5" t="s">
        <v>208</v>
      </c>
      <c r="C5" t="s">
        <v>209</v>
      </c>
      <c r="D5">
        <v>132.786</v>
      </c>
    </row>
    <row r="6" spans="1:4" x14ac:dyDescent="0.3">
      <c r="A6">
        <v>90586</v>
      </c>
      <c r="B6" t="s">
        <v>210</v>
      </c>
      <c r="C6" t="s">
        <v>211</v>
      </c>
      <c r="D6">
        <v>132.786</v>
      </c>
    </row>
    <row r="7" spans="1:4" x14ac:dyDescent="0.3">
      <c r="A7">
        <v>90630</v>
      </c>
      <c r="B7" t="s">
        <v>2396</v>
      </c>
      <c r="C7" t="s">
        <v>1810</v>
      </c>
      <c r="D7">
        <v>20.343</v>
      </c>
    </row>
    <row r="8" spans="1:4" x14ac:dyDescent="0.3">
      <c r="A8">
        <v>90632</v>
      </c>
      <c r="B8" t="s">
        <v>212</v>
      </c>
      <c r="C8" t="s">
        <v>204</v>
      </c>
      <c r="D8">
        <v>51.383000000000003</v>
      </c>
    </row>
    <row r="9" spans="1:4" x14ac:dyDescent="0.3">
      <c r="A9">
        <v>90653</v>
      </c>
      <c r="B9" t="s">
        <v>213</v>
      </c>
      <c r="C9" t="s">
        <v>214</v>
      </c>
      <c r="D9">
        <v>50.216999999999999</v>
      </c>
    </row>
    <row r="10" spans="1:4" x14ac:dyDescent="0.3">
      <c r="A10">
        <v>90656</v>
      </c>
      <c r="B10" t="s">
        <v>215</v>
      </c>
      <c r="C10" t="s">
        <v>216</v>
      </c>
      <c r="D10">
        <v>19.246999999999996</v>
      </c>
    </row>
    <row r="11" spans="1:4" x14ac:dyDescent="0.3">
      <c r="A11">
        <v>90662</v>
      </c>
      <c r="B11" t="s">
        <v>217</v>
      </c>
      <c r="C11" t="s">
        <v>216</v>
      </c>
      <c r="D11">
        <v>49.024999999999999</v>
      </c>
    </row>
    <row r="12" spans="1:4" x14ac:dyDescent="0.3">
      <c r="A12">
        <v>90670</v>
      </c>
      <c r="B12" t="s">
        <v>218</v>
      </c>
      <c r="C12" t="s">
        <v>216</v>
      </c>
      <c r="D12">
        <v>192.63720000000001</v>
      </c>
    </row>
    <row r="13" spans="1:4" x14ac:dyDescent="0.3">
      <c r="A13">
        <v>90673</v>
      </c>
      <c r="B13" t="s">
        <v>2398</v>
      </c>
      <c r="C13" t="s">
        <v>216</v>
      </c>
      <c r="D13">
        <v>40.613</v>
      </c>
    </row>
    <row r="14" spans="1:4" x14ac:dyDescent="0.3">
      <c r="A14">
        <v>90674</v>
      </c>
      <c r="B14" t="s">
        <v>219</v>
      </c>
      <c r="C14" t="s">
        <v>216</v>
      </c>
      <c r="D14">
        <v>24.047000000000001</v>
      </c>
    </row>
    <row r="15" spans="1:4" x14ac:dyDescent="0.3">
      <c r="A15">
        <v>90675</v>
      </c>
      <c r="B15" t="s">
        <v>220</v>
      </c>
      <c r="C15" t="s">
        <v>204</v>
      </c>
      <c r="D15">
        <v>284.98</v>
      </c>
    </row>
    <row r="16" spans="1:4" x14ac:dyDescent="0.3">
      <c r="A16">
        <v>90682</v>
      </c>
      <c r="B16" t="s">
        <v>221</v>
      </c>
      <c r="C16" t="s">
        <v>216</v>
      </c>
      <c r="D16">
        <v>46.313000000000002</v>
      </c>
    </row>
    <row r="17" spans="1:4" x14ac:dyDescent="0.3">
      <c r="A17">
        <v>90685</v>
      </c>
      <c r="B17" t="s">
        <v>222</v>
      </c>
      <c r="C17" t="s">
        <v>223</v>
      </c>
      <c r="D17">
        <v>21.198</v>
      </c>
    </row>
    <row r="18" spans="1:4" x14ac:dyDescent="0.3">
      <c r="A18">
        <v>90686</v>
      </c>
      <c r="B18" t="s">
        <v>224</v>
      </c>
      <c r="C18" t="s">
        <v>214</v>
      </c>
      <c r="D18">
        <v>19.032</v>
      </c>
    </row>
    <row r="19" spans="1:4" x14ac:dyDescent="0.3">
      <c r="A19">
        <v>90687</v>
      </c>
      <c r="B19" t="s">
        <v>225</v>
      </c>
      <c r="C19" t="s">
        <v>226</v>
      </c>
      <c r="D19">
        <v>9.4030000000000005</v>
      </c>
    </row>
    <row r="20" spans="1:4" x14ac:dyDescent="0.3">
      <c r="A20">
        <v>90688</v>
      </c>
      <c r="B20" t="s">
        <v>227</v>
      </c>
      <c r="C20" t="s">
        <v>216</v>
      </c>
      <c r="D20">
        <v>17.835000000000001</v>
      </c>
    </row>
    <row r="21" spans="1:4" x14ac:dyDescent="0.3">
      <c r="A21">
        <v>90691</v>
      </c>
      <c r="B21" t="s">
        <v>228</v>
      </c>
      <c r="C21" t="s">
        <v>216</v>
      </c>
      <c r="D21">
        <v>109.18</v>
      </c>
    </row>
    <row r="22" spans="1:4" x14ac:dyDescent="0.3">
      <c r="A22">
        <v>90714</v>
      </c>
      <c r="B22" t="s">
        <v>229</v>
      </c>
      <c r="C22" t="s">
        <v>216</v>
      </c>
      <c r="D22">
        <v>25.802</v>
      </c>
    </row>
    <row r="23" spans="1:4" x14ac:dyDescent="0.3">
      <c r="A23">
        <v>90715</v>
      </c>
      <c r="B23" t="s">
        <v>230</v>
      </c>
      <c r="C23" t="s">
        <v>216</v>
      </c>
      <c r="D23">
        <v>30.957999999999998</v>
      </c>
    </row>
    <row r="24" spans="1:4" x14ac:dyDescent="0.3">
      <c r="A24">
        <v>90732</v>
      </c>
      <c r="B24" t="s">
        <v>231</v>
      </c>
      <c r="C24" t="s">
        <v>216</v>
      </c>
      <c r="D24">
        <v>107.74615</v>
      </c>
    </row>
    <row r="25" spans="1:4" x14ac:dyDescent="0.3">
      <c r="A25">
        <v>90740</v>
      </c>
      <c r="B25" t="s">
        <v>234</v>
      </c>
      <c r="C25" t="s">
        <v>235</v>
      </c>
      <c r="D25">
        <v>126.59699999999998</v>
      </c>
    </row>
    <row r="26" spans="1:4" x14ac:dyDescent="0.3">
      <c r="A26">
        <v>90743</v>
      </c>
      <c r="B26" t="s">
        <v>2399</v>
      </c>
      <c r="C26" t="s">
        <v>237</v>
      </c>
      <c r="D26">
        <v>26.134499999999999</v>
      </c>
    </row>
    <row r="27" spans="1:4" x14ac:dyDescent="0.3">
      <c r="A27">
        <v>90744</v>
      </c>
      <c r="B27" t="s">
        <v>236</v>
      </c>
      <c r="C27" t="s">
        <v>237</v>
      </c>
      <c r="D27">
        <v>26.135000000000002</v>
      </c>
    </row>
    <row r="28" spans="1:4" x14ac:dyDescent="0.3">
      <c r="A28">
        <v>90746</v>
      </c>
      <c r="B28" t="s">
        <v>238</v>
      </c>
      <c r="C28" t="s">
        <v>239</v>
      </c>
      <c r="D28">
        <v>63.298999999999999</v>
      </c>
    </row>
    <row r="29" spans="1:4" x14ac:dyDescent="0.3">
      <c r="A29">
        <v>90747</v>
      </c>
      <c r="B29" t="s">
        <v>240</v>
      </c>
      <c r="C29" t="s">
        <v>235</v>
      </c>
      <c r="D29">
        <v>126.59699999999998</v>
      </c>
    </row>
    <row r="30" spans="1:4" x14ac:dyDescent="0.3">
      <c r="A30">
        <v>90756</v>
      </c>
      <c r="B30" t="s">
        <v>241</v>
      </c>
      <c r="C30" t="s">
        <v>216</v>
      </c>
      <c r="D30">
        <v>22.792999999999999</v>
      </c>
    </row>
    <row r="31" spans="1:4" x14ac:dyDescent="0.3">
      <c r="A31" t="s">
        <v>1549</v>
      </c>
      <c r="B31" t="s">
        <v>1550</v>
      </c>
      <c r="C31" t="s">
        <v>1810</v>
      </c>
      <c r="D31">
        <v>0.222</v>
      </c>
    </row>
    <row r="32" spans="1:4" x14ac:dyDescent="0.3">
      <c r="A32" t="s">
        <v>242</v>
      </c>
      <c r="B32" t="s">
        <v>243</v>
      </c>
      <c r="C32" t="s">
        <v>204</v>
      </c>
      <c r="D32">
        <v>1.7110000000000001</v>
      </c>
    </row>
    <row r="33" spans="1:6" x14ac:dyDescent="0.3">
      <c r="A33" t="s">
        <v>244</v>
      </c>
      <c r="B33" t="s">
        <v>245</v>
      </c>
      <c r="C33" t="s">
        <v>204</v>
      </c>
      <c r="D33">
        <v>2.073</v>
      </c>
    </row>
    <row r="34" spans="1:6" x14ac:dyDescent="0.3">
      <c r="A34" t="s">
        <v>246</v>
      </c>
      <c r="B34" t="s">
        <v>247</v>
      </c>
      <c r="C34" t="s">
        <v>204</v>
      </c>
      <c r="D34">
        <v>1.9870000000000001</v>
      </c>
    </row>
    <row r="35" spans="1:6" x14ac:dyDescent="0.3">
      <c r="A35" t="s">
        <v>248</v>
      </c>
      <c r="B35" t="s">
        <v>249</v>
      </c>
      <c r="C35" t="s">
        <v>204</v>
      </c>
      <c r="D35">
        <v>1.9339999999999999</v>
      </c>
    </row>
    <row r="36" spans="1:6" x14ac:dyDescent="0.3">
      <c r="A36" t="s">
        <v>250</v>
      </c>
      <c r="B36" t="s">
        <v>251</v>
      </c>
      <c r="C36" t="s">
        <v>204</v>
      </c>
      <c r="D36">
        <v>14.087</v>
      </c>
    </row>
    <row r="37" spans="1:6" x14ac:dyDescent="0.3">
      <c r="A37" t="s">
        <v>252</v>
      </c>
      <c r="B37" t="s">
        <v>253</v>
      </c>
      <c r="C37" t="s">
        <v>254</v>
      </c>
      <c r="D37">
        <v>0.377</v>
      </c>
    </row>
    <row r="38" spans="1:6" ht="129.6" x14ac:dyDescent="0.3">
      <c r="A38" t="s">
        <v>258</v>
      </c>
      <c r="B38" t="s">
        <v>259</v>
      </c>
      <c r="C38" t="s">
        <v>260</v>
      </c>
      <c r="D38" t="s">
        <v>1551</v>
      </c>
      <c r="F38" s="345" t="s">
        <v>2632</v>
      </c>
    </row>
    <row r="39" spans="1:6" x14ac:dyDescent="0.3">
      <c r="A39" t="s">
        <v>261</v>
      </c>
      <c r="B39" t="s">
        <v>262</v>
      </c>
      <c r="C39" t="s">
        <v>199</v>
      </c>
      <c r="D39">
        <v>48.548999999999999</v>
      </c>
    </row>
    <row r="40" spans="1:6" x14ac:dyDescent="0.3">
      <c r="A40" t="s">
        <v>263</v>
      </c>
      <c r="B40" t="s">
        <v>264</v>
      </c>
      <c r="C40" t="s">
        <v>199</v>
      </c>
      <c r="D40">
        <v>1206.8309999999999</v>
      </c>
    </row>
    <row r="41" spans="1:6" x14ac:dyDescent="0.3">
      <c r="A41" t="s">
        <v>265</v>
      </c>
      <c r="B41" t="s">
        <v>266</v>
      </c>
      <c r="C41" t="s">
        <v>257</v>
      </c>
      <c r="D41">
        <v>1.2190000000000001</v>
      </c>
    </row>
    <row r="42" spans="1:6" x14ac:dyDescent="0.3">
      <c r="A42" t="s">
        <v>267</v>
      </c>
      <c r="B42" t="s">
        <v>268</v>
      </c>
      <c r="C42" t="s">
        <v>200</v>
      </c>
      <c r="D42">
        <v>6.8000000000000005E-2</v>
      </c>
    </row>
    <row r="43" spans="1:6" x14ac:dyDescent="0.3">
      <c r="A43" t="s">
        <v>269</v>
      </c>
      <c r="B43" t="s">
        <v>270</v>
      </c>
      <c r="C43" t="s">
        <v>198</v>
      </c>
      <c r="D43">
        <v>0.69</v>
      </c>
    </row>
    <row r="44" spans="1:6" x14ac:dyDescent="0.3">
      <c r="A44" t="s">
        <v>271</v>
      </c>
      <c r="B44" t="s">
        <v>272</v>
      </c>
      <c r="C44" t="s">
        <v>273</v>
      </c>
      <c r="D44">
        <v>0.59599999999999997</v>
      </c>
    </row>
    <row r="45" spans="1:6" x14ac:dyDescent="0.3">
      <c r="A45" t="s">
        <v>274</v>
      </c>
      <c r="B45" t="s">
        <v>275</v>
      </c>
      <c r="C45" t="s">
        <v>198</v>
      </c>
      <c r="D45">
        <v>971.94500000000005</v>
      </c>
    </row>
    <row r="46" spans="1:6" x14ac:dyDescent="0.3">
      <c r="A46" t="s">
        <v>276</v>
      </c>
      <c r="B46" t="s">
        <v>277</v>
      </c>
      <c r="C46" t="s">
        <v>198</v>
      </c>
      <c r="D46">
        <v>171.40700000000001</v>
      </c>
    </row>
    <row r="47" spans="1:6" x14ac:dyDescent="0.3">
      <c r="A47" t="s">
        <v>280</v>
      </c>
      <c r="B47" t="s">
        <v>281</v>
      </c>
      <c r="C47" t="s">
        <v>198</v>
      </c>
      <c r="D47">
        <v>1812.7650000000001</v>
      </c>
    </row>
    <row r="48" spans="1:6" x14ac:dyDescent="0.3">
      <c r="A48" t="s">
        <v>282</v>
      </c>
      <c r="B48" t="s">
        <v>283</v>
      </c>
      <c r="C48" t="s">
        <v>284</v>
      </c>
      <c r="D48">
        <v>974.03800000000001</v>
      </c>
    </row>
    <row r="49" spans="1:4" x14ac:dyDescent="0.3">
      <c r="A49" t="s">
        <v>285</v>
      </c>
      <c r="B49" t="s">
        <v>286</v>
      </c>
      <c r="C49" t="s">
        <v>199</v>
      </c>
      <c r="D49">
        <v>159.755</v>
      </c>
    </row>
    <row r="50" spans="1:4" x14ac:dyDescent="0.3">
      <c r="A50" t="s">
        <v>287</v>
      </c>
      <c r="B50" t="s">
        <v>288</v>
      </c>
      <c r="C50" t="s">
        <v>199</v>
      </c>
      <c r="D50">
        <v>4.54</v>
      </c>
    </row>
    <row r="51" spans="1:4" x14ac:dyDescent="0.3">
      <c r="A51" t="s">
        <v>289</v>
      </c>
      <c r="B51" t="s">
        <v>290</v>
      </c>
      <c r="C51" t="s">
        <v>199</v>
      </c>
      <c r="D51">
        <v>4.6749999999999998</v>
      </c>
    </row>
    <row r="52" spans="1:4" x14ac:dyDescent="0.3">
      <c r="A52" t="s">
        <v>291</v>
      </c>
      <c r="B52" t="s">
        <v>292</v>
      </c>
      <c r="C52" t="s">
        <v>257</v>
      </c>
      <c r="D52">
        <v>1.478</v>
      </c>
    </row>
    <row r="53" spans="1:4" x14ac:dyDescent="0.3">
      <c r="A53" t="s">
        <v>293</v>
      </c>
      <c r="B53" t="s">
        <v>294</v>
      </c>
      <c r="C53" t="s">
        <v>295</v>
      </c>
      <c r="D53">
        <v>7.202</v>
      </c>
    </row>
    <row r="54" spans="1:4" x14ac:dyDescent="0.3">
      <c r="A54" t="s">
        <v>296</v>
      </c>
      <c r="B54" t="s">
        <v>297</v>
      </c>
      <c r="C54" t="s">
        <v>209</v>
      </c>
      <c r="D54">
        <v>32.987000000000002</v>
      </c>
    </row>
    <row r="55" spans="1:4" x14ac:dyDescent="0.3">
      <c r="A55" t="s">
        <v>298</v>
      </c>
      <c r="B55" t="s">
        <v>299</v>
      </c>
      <c r="C55" t="s">
        <v>199</v>
      </c>
      <c r="D55">
        <v>14.92</v>
      </c>
    </row>
    <row r="56" spans="1:4" x14ac:dyDescent="0.3">
      <c r="A56" t="s">
        <v>300</v>
      </c>
      <c r="B56" t="s">
        <v>301</v>
      </c>
      <c r="C56" t="s">
        <v>199</v>
      </c>
      <c r="D56">
        <v>20.707999999999998</v>
      </c>
    </row>
    <row r="57" spans="1:4" x14ac:dyDescent="0.3">
      <c r="A57" t="s">
        <v>302</v>
      </c>
      <c r="B57" t="s">
        <v>303</v>
      </c>
      <c r="C57" t="s">
        <v>284</v>
      </c>
      <c r="D57">
        <v>1.3089999999999999</v>
      </c>
    </row>
    <row r="58" spans="1:4" x14ac:dyDescent="0.3">
      <c r="A58" t="s">
        <v>304</v>
      </c>
      <c r="B58" t="s">
        <v>2400</v>
      </c>
      <c r="C58" t="s">
        <v>306</v>
      </c>
      <c r="D58">
        <v>2.6429999999999998</v>
      </c>
    </row>
    <row r="59" spans="1:4" x14ac:dyDescent="0.3">
      <c r="A59" t="s">
        <v>307</v>
      </c>
      <c r="B59" t="s">
        <v>308</v>
      </c>
      <c r="C59" t="s">
        <v>198</v>
      </c>
      <c r="D59">
        <v>0.54400000000000004</v>
      </c>
    </row>
    <row r="60" spans="1:4" x14ac:dyDescent="0.3">
      <c r="A60" t="s">
        <v>309</v>
      </c>
      <c r="B60" t="s">
        <v>310</v>
      </c>
      <c r="C60" t="s">
        <v>311</v>
      </c>
      <c r="D60">
        <v>3.169</v>
      </c>
    </row>
    <row r="61" spans="1:4" x14ac:dyDescent="0.3">
      <c r="A61" t="s">
        <v>312</v>
      </c>
      <c r="B61" t="s">
        <v>313</v>
      </c>
      <c r="C61" t="s">
        <v>198</v>
      </c>
      <c r="D61">
        <v>5.0220000000000002</v>
      </c>
    </row>
    <row r="62" spans="1:4" x14ac:dyDescent="0.3">
      <c r="A62" t="s">
        <v>314</v>
      </c>
      <c r="B62" t="s">
        <v>315</v>
      </c>
      <c r="C62" t="s">
        <v>284</v>
      </c>
      <c r="D62">
        <v>3.4609999999999999</v>
      </c>
    </row>
    <row r="63" spans="1:4" x14ac:dyDescent="0.3">
      <c r="A63" t="s">
        <v>316</v>
      </c>
      <c r="B63" t="s">
        <v>317</v>
      </c>
      <c r="C63" t="s">
        <v>318</v>
      </c>
      <c r="D63">
        <v>4.2999999999999997E-2</v>
      </c>
    </row>
    <row r="64" spans="1:4" x14ac:dyDescent="0.3">
      <c r="A64" t="s">
        <v>319</v>
      </c>
      <c r="B64" t="s">
        <v>320</v>
      </c>
      <c r="C64" t="s">
        <v>257</v>
      </c>
      <c r="D64">
        <v>51.226999999999997</v>
      </c>
    </row>
    <row r="65" spans="1:4" x14ac:dyDescent="0.3">
      <c r="A65" t="s">
        <v>321</v>
      </c>
      <c r="B65" t="s">
        <v>322</v>
      </c>
      <c r="C65" t="s">
        <v>199</v>
      </c>
      <c r="D65">
        <v>177.85499999999999</v>
      </c>
    </row>
    <row r="66" spans="1:4" x14ac:dyDescent="0.3">
      <c r="A66" t="s">
        <v>323</v>
      </c>
      <c r="B66" t="s">
        <v>324</v>
      </c>
      <c r="C66" t="s">
        <v>325</v>
      </c>
      <c r="D66">
        <v>42.884</v>
      </c>
    </row>
    <row r="67" spans="1:4" x14ac:dyDescent="0.3">
      <c r="A67" t="s">
        <v>326</v>
      </c>
      <c r="B67" t="s">
        <v>327</v>
      </c>
      <c r="C67" t="s">
        <v>311</v>
      </c>
      <c r="D67">
        <v>3546.8380000000002</v>
      </c>
    </row>
    <row r="68" spans="1:4" x14ac:dyDescent="0.3">
      <c r="A68" t="s">
        <v>328</v>
      </c>
      <c r="B68" t="s">
        <v>329</v>
      </c>
      <c r="C68" t="s">
        <v>198</v>
      </c>
      <c r="D68">
        <v>3.911</v>
      </c>
    </row>
    <row r="69" spans="1:4" x14ac:dyDescent="0.3">
      <c r="A69" t="s">
        <v>330</v>
      </c>
      <c r="B69" t="s">
        <v>331</v>
      </c>
      <c r="C69" t="s">
        <v>199</v>
      </c>
      <c r="D69">
        <v>42.927</v>
      </c>
    </row>
    <row r="70" spans="1:4" x14ac:dyDescent="0.3">
      <c r="A70" t="s">
        <v>332</v>
      </c>
      <c r="B70" t="s">
        <v>333</v>
      </c>
      <c r="C70" t="s">
        <v>311</v>
      </c>
      <c r="D70">
        <v>75.215999999999994</v>
      </c>
    </row>
    <row r="71" spans="1:4" x14ac:dyDescent="0.3">
      <c r="A71" t="s">
        <v>334</v>
      </c>
      <c r="B71" t="s">
        <v>335</v>
      </c>
      <c r="C71" t="s">
        <v>198</v>
      </c>
      <c r="D71">
        <v>19.884</v>
      </c>
    </row>
    <row r="72" spans="1:4" x14ac:dyDescent="0.3">
      <c r="A72" t="s">
        <v>338</v>
      </c>
      <c r="B72" t="s">
        <v>339</v>
      </c>
      <c r="C72" t="s">
        <v>340</v>
      </c>
      <c r="D72">
        <v>10.025</v>
      </c>
    </row>
    <row r="73" spans="1:4" x14ac:dyDescent="0.3">
      <c r="A73" t="s">
        <v>341</v>
      </c>
      <c r="B73" t="s">
        <v>342</v>
      </c>
      <c r="C73" t="s">
        <v>340</v>
      </c>
      <c r="D73">
        <v>12.805</v>
      </c>
    </row>
    <row r="74" spans="1:4" x14ac:dyDescent="0.3">
      <c r="A74" t="s">
        <v>345</v>
      </c>
      <c r="B74" t="s">
        <v>346</v>
      </c>
      <c r="C74" t="s">
        <v>347</v>
      </c>
      <c r="D74">
        <v>1257.107</v>
      </c>
    </row>
    <row r="75" spans="1:4" x14ac:dyDescent="0.3">
      <c r="A75" t="s">
        <v>348</v>
      </c>
      <c r="B75" t="s">
        <v>349</v>
      </c>
      <c r="C75" t="s">
        <v>198</v>
      </c>
      <c r="D75">
        <v>1.139</v>
      </c>
    </row>
    <row r="76" spans="1:4" x14ac:dyDescent="0.3">
      <c r="A76" t="s">
        <v>352</v>
      </c>
      <c r="B76" t="s">
        <v>353</v>
      </c>
      <c r="C76" t="s">
        <v>354</v>
      </c>
      <c r="D76">
        <v>6.125</v>
      </c>
    </row>
    <row r="77" spans="1:4" x14ac:dyDescent="0.3">
      <c r="A77" t="s">
        <v>355</v>
      </c>
      <c r="B77" t="s">
        <v>356</v>
      </c>
      <c r="C77" t="s">
        <v>357</v>
      </c>
      <c r="D77">
        <v>8.2379999999999995</v>
      </c>
    </row>
    <row r="78" spans="1:4" x14ac:dyDescent="0.3">
      <c r="A78" t="s">
        <v>358</v>
      </c>
      <c r="B78" t="s">
        <v>359</v>
      </c>
      <c r="C78" t="s">
        <v>360</v>
      </c>
      <c r="D78">
        <v>11.987</v>
      </c>
    </row>
    <row r="79" spans="1:4" x14ac:dyDescent="0.3">
      <c r="A79" t="s">
        <v>361</v>
      </c>
      <c r="B79" t="s">
        <v>362</v>
      </c>
      <c r="C79" t="s">
        <v>354</v>
      </c>
      <c r="D79">
        <v>5.0750000000000002</v>
      </c>
    </row>
    <row r="80" spans="1:4" x14ac:dyDescent="0.3">
      <c r="A80" t="s">
        <v>363</v>
      </c>
      <c r="B80" t="s">
        <v>364</v>
      </c>
      <c r="C80" t="s">
        <v>273</v>
      </c>
      <c r="D80">
        <v>3.3610000000000002</v>
      </c>
    </row>
    <row r="81" spans="1:4" x14ac:dyDescent="0.3">
      <c r="A81" t="s">
        <v>365</v>
      </c>
      <c r="B81" t="s">
        <v>366</v>
      </c>
      <c r="C81" t="s">
        <v>198</v>
      </c>
      <c r="D81">
        <v>31.401</v>
      </c>
    </row>
    <row r="82" spans="1:4" x14ac:dyDescent="0.3">
      <c r="A82" t="s">
        <v>367</v>
      </c>
      <c r="B82" t="s">
        <v>368</v>
      </c>
      <c r="C82" t="s">
        <v>198</v>
      </c>
      <c r="D82">
        <v>2.661</v>
      </c>
    </row>
    <row r="83" spans="1:4" x14ac:dyDescent="0.3">
      <c r="A83" t="s">
        <v>369</v>
      </c>
      <c r="B83" t="s">
        <v>370</v>
      </c>
      <c r="C83" t="s">
        <v>371</v>
      </c>
      <c r="D83">
        <v>27.978000000000002</v>
      </c>
    </row>
    <row r="84" spans="1:4" x14ac:dyDescent="0.3">
      <c r="A84" t="s">
        <v>372</v>
      </c>
      <c r="B84" t="s">
        <v>373</v>
      </c>
      <c r="C84" t="s">
        <v>371</v>
      </c>
      <c r="D84">
        <v>48.908000000000001</v>
      </c>
    </row>
    <row r="85" spans="1:4" x14ac:dyDescent="0.3">
      <c r="A85" t="s">
        <v>374</v>
      </c>
      <c r="B85" t="s">
        <v>375</v>
      </c>
      <c r="C85" t="s">
        <v>371</v>
      </c>
      <c r="D85">
        <v>57.167999999999999</v>
      </c>
    </row>
    <row r="86" spans="1:4" x14ac:dyDescent="0.3">
      <c r="A86" t="s">
        <v>376</v>
      </c>
      <c r="B86" t="s">
        <v>377</v>
      </c>
      <c r="C86" t="s">
        <v>378</v>
      </c>
      <c r="D86">
        <v>5588.3329999999996</v>
      </c>
    </row>
    <row r="87" spans="1:4" x14ac:dyDescent="0.3">
      <c r="A87" t="s">
        <v>379</v>
      </c>
      <c r="B87" t="s">
        <v>380</v>
      </c>
      <c r="C87" t="s">
        <v>381</v>
      </c>
      <c r="D87">
        <v>3.169</v>
      </c>
    </row>
    <row r="88" spans="1:4" x14ac:dyDescent="0.3">
      <c r="A88" t="s">
        <v>382</v>
      </c>
      <c r="B88" t="s">
        <v>383</v>
      </c>
      <c r="C88" t="s">
        <v>384</v>
      </c>
      <c r="D88">
        <v>2267.0210000000002</v>
      </c>
    </row>
    <row r="89" spans="1:4" x14ac:dyDescent="0.3">
      <c r="A89" t="s">
        <v>385</v>
      </c>
      <c r="B89" t="s">
        <v>386</v>
      </c>
      <c r="C89" t="s">
        <v>387</v>
      </c>
      <c r="D89">
        <v>0.60499999999999998</v>
      </c>
    </row>
    <row r="90" spans="1:4" x14ac:dyDescent="0.3">
      <c r="A90" t="s">
        <v>388</v>
      </c>
      <c r="B90" t="s">
        <v>389</v>
      </c>
      <c r="C90" t="s">
        <v>200</v>
      </c>
      <c r="D90">
        <v>18.131</v>
      </c>
    </row>
    <row r="91" spans="1:4" x14ac:dyDescent="0.3">
      <c r="A91" t="s">
        <v>390</v>
      </c>
      <c r="B91" t="s">
        <v>391</v>
      </c>
      <c r="C91" t="s">
        <v>198</v>
      </c>
      <c r="D91">
        <v>108.032</v>
      </c>
    </row>
    <row r="92" spans="1:4" x14ac:dyDescent="0.3">
      <c r="A92" t="s">
        <v>392</v>
      </c>
      <c r="B92" t="s">
        <v>393</v>
      </c>
      <c r="C92" t="s">
        <v>209</v>
      </c>
      <c r="D92">
        <v>2.8180000000000001</v>
      </c>
    </row>
    <row r="93" spans="1:4" x14ac:dyDescent="0.3">
      <c r="A93" t="s">
        <v>394</v>
      </c>
      <c r="B93" t="s">
        <v>395</v>
      </c>
      <c r="C93" t="s">
        <v>396</v>
      </c>
      <c r="D93">
        <v>0.308</v>
      </c>
    </row>
    <row r="94" spans="1:4" x14ac:dyDescent="0.3">
      <c r="A94" t="s">
        <v>397</v>
      </c>
      <c r="B94" t="s">
        <v>398</v>
      </c>
      <c r="C94" t="s">
        <v>381</v>
      </c>
      <c r="D94">
        <v>2.6110000000000002</v>
      </c>
    </row>
    <row r="95" spans="1:4" x14ac:dyDescent="0.3">
      <c r="A95" t="s">
        <v>399</v>
      </c>
      <c r="B95" t="s">
        <v>400</v>
      </c>
      <c r="C95" t="s">
        <v>284</v>
      </c>
      <c r="D95">
        <v>0.879</v>
      </c>
    </row>
    <row r="96" spans="1:4" x14ac:dyDescent="0.3">
      <c r="A96" t="s">
        <v>401</v>
      </c>
      <c r="B96" t="s">
        <v>402</v>
      </c>
      <c r="C96" t="s">
        <v>284</v>
      </c>
      <c r="D96">
        <v>2.633</v>
      </c>
    </row>
    <row r="97" spans="1:4" x14ac:dyDescent="0.3">
      <c r="A97" t="s">
        <v>403</v>
      </c>
      <c r="B97" t="s">
        <v>404</v>
      </c>
      <c r="C97" t="s">
        <v>405</v>
      </c>
      <c r="D97">
        <v>4.7149999999999999</v>
      </c>
    </row>
    <row r="98" spans="1:4" x14ac:dyDescent="0.3">
      <c r="A98" t="s">
        <v>409</v>
      </c>
      <c r="B98" t="s">
        <v>410</v>
      </c>
      <c r="C98" t="s">
        <v>295</v>
      </c>
      <c r="D98">
        <v>0.628</v>
      </c>
    </row>
    <row r="99" spans="1:4" x14ac:dyDescent="0.3">
      <c r="A99" t="s">
        <v>411</v>
      </c>
      <c r="B99" t="s">
        <v>412</v>
      </c>
      <c r="C99" t="s">
        <v>413</v>
      </c>
      <c r="D99">
        <v>2.0739999999999998</v>
      </c>
    </row>
    <row r="100" spans="1:4" x14ac:dyDescent="0.3">
      <c r="A100" t="s">
        <v>416</v>
      </c>
      <c r="B100" t="s">
        <v>417</v>
      </c>
      <c r="C100" t="s">
        <v>418</v>
      </c>
      <c r="D100">
        <v>7.641</v>
      </c>
    </row>
    <row r="101" spans="1:4" x14ac:dyDescent="0.3">
      <c r="A101" t="s">
        <v>419</v>
      </c>
      <c r="B101" t="s">
        <v>420</v>
      </c>
      <c r="C101" t="s">
        <v>199</v>
      </c>
      <c r="D101">
        <v>2.6080000000000001</v>
      </c>
    </row>
    <row r="102" spans="1:4" x14ac:dyDescent="0.3">
      <c r="A102" t="s">
        <v>421</v>
      </c>
      <c r="B102" t="s">
        <v>422</v>
      </c>
      <c r="C102" t="s">
        <v>284</v>
      </c>
      <c r="D102">
        <v>2.254</v>
      </c>
    </row>
    <row r="103" spans="1:4" x14ac:dyDescent="0.3">
      <c r="A103" t="s">
        <v>426</v>
      </c>
      <c r="B103" t="s">
        <v>427</v>
      </c>
      <c r="C103" t="s">
        <v>198</v>
      </c>
      <c r="D103">
        <v>7.9340000000000002</v>
      </c>
    </row>
    <row r="104" spans="1:4" x14ac:dyDescent="0.3">
      <c r="A104" t="s">
        <v>428</v>
      </c>
      <c r="B104" t="s">
        <v>429</v>
      </c>
      <c r="C104" t="s">
        <v>405</v>
      </c>
      <c r="D104">
        <v>39.247999999999998</v>
      </c>
    </row>
    <row r="105" spans="1:4" x14ac:dyDescent="0.3">
      <c r="A105" t="s">
        <v>430</v>
      </c>
      <c r="B105" t="s">
        <v>431</v>
      </c>
      <c r="C105" t="s">
        <v>432</v>
      </c>
      <c r="D105">
        <v>22.59</v>
      </c>
    </row>
    <row r="106" spans="1:4" x14ac:dyDescent="0.3">
      <c r="A106" t="s">
        <v>433</v>
      </c>
      <c r="B106" t="s">
        <v>434</v>
      </c>
      <c r="C106" t="s">
        <v>198</v>
      </c>
      <c r="D106">
        <v>13.952</v>
      </c>
    </row>
    <row r="107" spans="1:4" x14ac:dyDescent="0.3">
      <c r="A107" t="s">
        <v>435</v>
      </c>
      <c r="B107" t="s">
        <v>436</v>
      </c>
      <c r="C107" t="s">
        <v>437</v>
      </c>
      <c r="D107">
        <v>465.88400000000001</v>
      </c>
    </row>
    <row r="108" spans="1:4" x14ac:dyDescent="0.3">
      <c r="A108" t="s">
        <v>438</v>
      </c>
      <c r="B108" t="s">
        <v>439</v>
      </c>
      <c r="C108" t="s">
        <v>295</v>
      </c>
      <c r="D108">
        <v>6.0430000000000001</v>
      </c>
    </row>
    <row r="109" spans="1:4" x14ac:dyDescent="0.3">
      <c r="A109" t="s">
        <v>440</v>
      </c>
      <c r="B109" t="s">
        <v>441</v>
      </c>
      <c r="C109" t="s">
        <v>442</v>
      </c>
      <c r="D109">
        <v>1.2769999999999999</v>
      </c>
    </row>
    <row r="110" spans="1:4" x14ac:dyDescent="0.3">
      <c r="A110" t="s">
        <v>443</v>
      </c>
      <c r="B110" t="s">
        <v>444</v>
      </c>
      <c r="C110" t="s">
        <v>445</v>
      </c>
      <c r="D110">
        <v>15.457000000000001</v>
      </c>
    </row>
    <row r="111" spans="1:4" x14ac:dyDescent="0.3">
      <c r="A111" t="s">
        <v>446</v>
      </c>
      <c r="B111" t="s">
        <v>447</v>
      </c>
      <c r="C111" t="s">
        <v>318</v>
      </c>
      <c r="D111">
        <v>41.832999999999998</v>
      </c>
    </row>
    <row r="112" spans="1:4" x14ac:dyDescent="0.3">
      <c r="A112" t="s">
        <v>448</v>
      </c>
      <c r="B112" t="s">
        <v>449</v>
      </c>
      <c r="C112" t="s">
        <v>199</v>
      </c>
      <c r="D112">
        <v>9.7569999999999997</v>
      </c>
    </row>
    <row r="113" spans="1:4" x14ac:dyDescent="0.3">
      <c r="A113" t="s">
        <v>450</v>
      </c>
      <c r="B113" t="s">
        <v>451</v>
      </c>
      <c r="C113" t="s">
        <v>452</v>
      </c>
      <c r="D113">
        <v>8.6140000000000008</v>
      </c>
    </row>
    <row r="114" spans="1:4" x14ac:dyDescent="0.3">
      <c r="A114" t="s">
        <v>453</v>
      </c>
      <c r="B114" t="s">
        <v>454</v>
      </c>
      <c r="C114" t="s">
        <v>455</v>
      </c>
      <c r="D114">
        <v>3764.2840000000001</v>
      </c>
    </row>
    <row r="115" spans="1:4" x14ac:dyDescent="0.3">
      <c r="A115" t="s">
        <v>456</v>
      </c>
      <c r="B115" t="s">
        <v>2401</v>
      </c>
      <c r="C115" t="s">
        <v>458</v>
      </c>
      <c r="D115">
        <v>37.237000000000002</v>
      </c>
    </row>
    <row r="116" spans="1:4" x14ac:dyDescent="0.3">
      <c r="A116" t="s">
        <v>459</v>
      </c>
      <c r="B116" t="s">
        <v>460</v>
      </c>
      <c r="C116" t="s">
        <v>461</v>
      </c>
      <c r="D116">
        <v>3002</v>
      </c>
    </row>
    <row r="117" spans="1:4" x14ac:dyDescent="0.3">
      <c r="A117" t="s">
        <v>462</v>
      </c>
      <c r="B117" t="s">
        <v>463</v>
      </c>
      <c r="C117" t="s">
        <v>464</v>
      </c>
      <c r="D117">
        <v>1129.125</v>
      </c>
    </row>
    <row r="118" spans="1:4" x14ac:dyDescent="0.3">
      <c r="A118" t="s">
        <v>465</v>
      </c>
      <c r="B118" t="s">
        <v>466</v>
      </c>
      <c r="C118" t="s">
        <v>200</v>
      </c>
      <c r="D118">
        <v>14.766999999999999</v>
      </c>
    </row>
    <row r="119" spans="1:4" x14ac:dyDescent="0.3">
      <c r="A119" t="s">
        <v>467</v>
      </c>
      <c r="B119" t="s">
        <v>468</v>
      </c>
      <c r="C119" t="s">
        <v>198</v>
      </c>
      <c r="D119">
        <v>0.502</v>
      </c>
    </row>
    <row r="120" spans="1:4" x14ac:dyDescent="0.3">
      <c r="A120" t="s">
        <v>469</v>
      </c>
      <c r="B120" t="s">
        <v>470</v>
      </c>
      <c r="C120" t="s">
        <v>452</v>
      </c>
      <c r="D120">
        <v>3.9039999999999999</v>
      </c>
    </row>
    <row r="121" spans="1:4" x14ac:dyDescent="0.3">
      <c r="A121" t="s">
        <v>471</v>
      </c>
      <c r="B121" t="s">
        <v>472</v>
      </c>
      <c r="C121" t="s">
        <v>452</v>
      </c>
      <c r="D121">
        <v>3.9039999999999999</v>
      </c>
    </row>
    <row r="122" spans="1:4" x14ac:dyDescent="0.3">
      <c r="A122" t="s">
        <v>473</v>
      </c>
      <c r="B122" t="s">
        <v>474</v>
      </c>
      <c r="C122" t="s">
        <v>432</v>
      </c>
      <c r="D122">
        <v>12.131</v>
      </c>
    </row>
    <row r="123" spans="1:4" x14ac:dyDescent="0.3">
      <c r="A123" t="s">
        <v>475</v>
      </c>
      <c r="B123" t="s">
        <v>476</v>
      </c>
      <c r="C123" t="s">
        <v>452</v>
      </c>
      <c r="D123">
        <v>1.6279999999999999</v>
      </c>
    </row>
    <row r="124" spans="1:4" x14ac:dyDescent="0.3">
      <c r="A124" t="s">
        <v>477</v>
      </c>
      <c r="B124" t="s">
        <v>478</v>
      </c>
      <c r="C124" t="s">
        <v>452</v>
      </c>
      <c r="D124">
        <v>1.6279999999999999</v>
      </c>
    </row>
    <row r="125" spans="1:4" x14ac:dyDescent="0.3">
      <c r="A125" t="s">
        <v>479</v>
      </c>
      <c r="B125" t="s">
        <v>480</v>
      </c>
      <c r="C125" t="s">
        <v>198</v>
      </c>
      <c r="D125">
        <v>16.134</v>
      </c>
    </row>
    <row r="126" spans="1:4" x14ac:dyDescent="0.3">
      <c r="A126" t="s">
        <v>481</v>
      </c>
      <c r="B126" t="s">
        <v>482</v>
      </c>
      <c r="C126" t="s">
        <v>284</v>
      </c>
      <c r="D126">
        <v>8.0380000000000003</v>
      </c>
    </row>
    <row r="127" spans="1:4" x14ac:dyDescent="0.3">
      <c r="A127" t="s">
        <v>483</v>
      </c>
      <c r="B127" t="s">
        <v>484</v>
      </c>
      <c r="C127" t="s">
        <v>198</v>
      </c>
      <c r="D127">
        <v>17.748999999999999</v>
      </c>
    </row>
    <row r="128" spans="1:4" x14ac:dyDescent="0.3">
      <c r="A128" t="s">
        <v>485</v>
      </c>
      <c r="B128" t="s">
        <v>486</v>
      </c>
      <c r="C128" t="s">
        <v>200</v>
      </c>
      <c r="D128">
        <v>20.175000000000001</v>
      </c>
    </row>
    <row r="129" spans="1:4" x14ac:dyDescent="0.3">
      <c r="A129" t="s">
        <v>487</v>
      </c>
      <c r="B129" t="s">
        <v>488</v>
      </c>
      <c r="C129" t="s">
        <v>311</v>
      </c>
      <c r="D129">
        <v>5.9450000000000003</v>
      </c>
    </row>
    <row r="130" spans="1:4" x14ac:dyDescent="0.3">
      <c r="A130" t="s">
        <v>489</v>
      </c>
      <c r="B130" t="s">
        <v>490</v>
      </c>
      <c r="C130" t="s">
        <v>491</v>
      </c>
      <c r="D130">
        <v>6.694</v>
      </c>
    </row>
    <row r="131" spans="1:4" x14ac:dyDescent="0.3">
      <c r="A131" t="s">
        <v>492</v>
      </c>
      <c r="B131" t="s">
        <v>493</v>
      </c>
      <c r="C131" t="s">
        <v>494</v>
      </c>
      <c r="D131">
        <v>12.962999999999999</v>
      </c>
    </row>
    <row r="132" spans="1:4" x14ac:dyDescent="0.3">
      <c r="A132" t="s">
        <v>495</v>
      </c>
      <c r="B132" t="s">
        <v>496</v>
      </c>
      <c r="C132" t="s">
        <v>198</v>
      </c>
      <c r="D132">
        <v>0.51900000000000002</v>
      </c>
    </row>
    <row r="133" spans="1:4" x14ac:dyDescent="0.3">
      <c r="A133" t="s">
        <v>497</v>
      </c>
      <c r="B133" t="s">
        <v>498</v>
      </c>
      <c r="C133" t="s">
        <v>198</v>
      </c>
      <c r="D133">
        <v>2.3E-2</v>
      </c>
    </row>
    <row r="134" spans="1:4" x14ac:dyDescent="0.3">
      <c r="A134" t="s">
        <v>499</v>
      </c>
      <c r="B134" t="s">
        <v>500</v>
      </c>
      <c r="C134" t="s">
        <v>198</v>
      </c>
      <c r="D134">
        <v>0.11700000000000001</v>
      </c>
    </row>
    <row r="135" spans="1:4" x14ac:dyDescent="0.3">
      <c r="A135" t="s">
        <v>501</v>
      </c>
      <c r="B135" t="s">
        <v>502</v>
      </c>
      <c r="C135" t="s">
        <v>198</v>
      </c>
      <c r="D135">
        <v>104.76900000000001</v>
      </c>
    </row>
    <row r="136" spans="1:4" x14ac:dyDescent="0.3">
      <c r="A136" t="s">
        <v>503</v>
      </c>
      <c r="B136" t="s">
        <v>504</v>
      </c>
      <c r="C136" t="s">
        <v>284</v>
      </c>
      <c r="D136">
        <v>17.401</v>
      </c>
    </row>
    <row r="137" spans="1:4" x14ac:dyDescent="0.3">
      <c r="A137" t="s">
        <v>505</v>
      </c>
      <c r="B137" t="s">
        <v>506</v>
      </c>
      <c r="C137" t="s">
        <v>396</v>
      </c>
      <c r="D137">
        <v>11.222</v>
      </c>
    </row>
    <row r="138" spans="1:4" x14ac:dyDescent="0.3">
      <c r="A138" t="s">
        <v>507</v>
      </c>
      <c r="B138" t="s">
        <v>508</v>
      </c>
      <c r="C138" t="s">
        <v>464</v>
      </c>
      <c r="D138">
        <v>3421.5929999999998</v>
      </c>
    </row>
    <row r="139" spans="1:4" x14ac:dyDescent="0.3">
      <c r="A139" t="s">
        <v>509</v>
      </c>
      <c r="B139" t="s">
        <v>510</v>
      </c>
      <c r="C139" t="s">
        <v>209</v>
      </c>
      <c r="D139">
        <v>0.58099999999999996</v>
      </c>
    </row>
    <row r="140" spans="1:4" x14ac:dyDescent="0.3">
      <c r="A140" t="s">
        <v>511</v>
      </c>
      <c r="B140" t="s">
        <v>512</v>
      </c>
      <c r="C140" t="s">
        <v>513</v>
      </c>
      <c r="D140">
        <v>1.573</v>
      </c>
    </row>
    <row r="141" spans="1:4" x14ac:dyDescent="0.3">
      <c r="A141" t="s">
        <v>514</v>
      </c>
      <c r="B141" t="s">
        <v>515</v>
      </c>
      <c r="C141" t="s">
        <v>295</v>
      </c>
      <c r="D141">
        <v>223.21799999999999</v>
      </c>
    </row>
    <row r="142" spans="1:4" x14ac:dyDescent="0.3">
      <c r="A142" t="s">
        <v>516</v>
      </c>
      <c r="B142" t="s">
        <v>517</v>
      </c>
      <c r="C142" t="s">
        <v>209</v>
      </c>
      <c r="D142">
        <v>0.59199999999999997</v>
      </c>
    </row>
    <row r="143" spans="1:4" x14ac:dyDescent="0.3">
      <c r="A143" t="s">
        <v>518</v>
      </c>
      <c r="B143" t="s">
        <v>519</v>
      </c>
      <c r="C143" t="s">
        <v>284</v>
      </c>
      <c r="D143">
        <v>61.487000000000002</v>
      </c>
    </row>
    <row r="144" spans="1:4" x14ac:dyDescent="0.3">
      <c r="A144" t="s">
        <v>520</v>
      </c>
      <c r="B144" t="s">
        <v>521</v>
      </c>
      <c r="C144" t="s">
        <v>522</v>
      </c>
      <c r="D144">
        <v>554.56600000000003</v>
      </c>
    </row>
    <row r="145" spans="1:4" x14ac:dyDescent="0.3">
      <c r="A145" t="s">
        <v>523</v>
      </c>
      <c r="B145" t="s">
        <v>524</v>
      </c>
      <c r="C145" t="s">
        <v>199</v>
      </c>
      <c r="D145">
        <v>19.384</v>
      </c>
    </row>
    <row r="146" spans="1:4" x14ac:dyDescent="0.3">
      <c r="A146" t="s">
        <v>525</v>
      </c>
      <c r="B146" t="s">
        <v>526</v>
      </c>
      <c r="C146" t="s">
        <v>209</v>
      </c>
      <c r="D146">
        <v>8.0830000000000002</v>
      </c>
    </row>
    <row r="147" spans="1:4" x14ac:dyDescent="0.3">
      <c r="A147" t="s">
        <v>527</v>
      </c>
      <c r="B147" t="s">
        <v>528</v>
      </c>
      <c r="C147" t="s">
        <v>199</v>
      </c>
      <c r="D147">
        <v>0.75900000000000001</v>
      </c>
    </row>
    <row r="148" spans="1:4" x14ac:dyDescent="0.3">
      <c r="A148" t="s">
        <v>529</v>
      </c>
      <c r="B148" t="s">
        <v>530</v>
      </c>
      <c r="C148" t="s">
        <v>295</v>
      </c>
      <c r="D148">
        <v>6.4859999999999998</v>
      </c>
    </row>
    <row r="149" spans="1:4" x14ac:dyDescent="0.3">
      <c r="A149" t="s">
        <v>531</v>
      </c>
      <c r="B149" t="s">
        <v>532</v>
      </c>
      <c r="C149" t="s">
        <v>491</v>
      </c>
      <c r="D149">
        <v>0.63100000000000001</v>
      </c>
    </row>
    <row r="150" spans="1:4" x14ac:dyDescent="0.3">
      <c r="A150" t="s">
        <v>1811</v>
      </c>
      <c r="B150" t="s">
        <v>1812</v>
      </c>
      <c r="C150" t="s">
        <v>199</v>
      </c>
      <c r="D150">
        <v>0.71299999999999997</v>
      </c>
    </row>
    <row r="151" spans="1:4" x14ac:dyDescent="0.3">
      <c r="A151" t="s">
        <v>533</v>
      </c>
      <c r="B151" t="s">
        <v>534</v>
      </c>
      <c r="C151" t="s">
        <v>452</v>
      </c>
      <c r="D151">
        <v>0.442</v>
      </c>
    </row>
    <row r="152" spans="1:4" x14ac:dyDescent="0.3">
      <c r="A152" t="s">
        <v>535</v>
      </c>
      <c r="B152" t="s">
        <v>536</v>
      </c>
      <c r="C152" t="s">
        <v>198</v>
      </c>
      <c r="D152">
        <v>452.11399999999998</v>
      </c>
    </row>
    <row r="153" spans="1:4" x14ac:dyDescent="0.3">
      <c r="A153" t="s">
        <v>537</v>
      </c>
      <c r="B153" t="s">
        <v>538</v>
      </c>
      <c r="C153" t="s">
        <v>199</v>
      </c>
      <c r="D153">
        <v>228.36500000000001</v>
      </c>
    </row>
    <row r="154" spans="1:4" x14ac:dyDescent="0.3">
      <c r="A154" t="s">
        <v>543</v>
      </c>
      <c r="B154" t="s">
        <v>544</v>
      </c>
      <c r="C154" t="s">
        <v>396</v>
      </c>
      <c r="D154">
        <v>15.566000000000001</v>
      </c>
    </row>
    <row r="155" spans="1:4" x14ac:dyDescent="0.3">
      <c r="A155" t="s">
        <v>545</v>
      </c>
      <c r="B155" t="s">
        <v>546</v>
      </c>
      <c r="C155" t="s">
        <v>284</v>
      </c>
      <c r="D155">
        <v>55.54</v>
      </c>
    </row>
    <row r="156" spans="1:4" x14ac:dyDescent="0.3">
      <c r="A156" t="s">
        <v>547</v>
      </c>
      <c r="B156" t="s">
        <v>548</v>
      </c>
      <c r="C156" t="s">
        <v>284</v>
      </c>
      <c r="D156">
        <v>72.35560000000001</v>
      </c>
    </row>
    <row r="157" spans="1:4" x14ac:dyDescent="0.3">
      <c r="A157" t="s">
        <v>549</v>
      </c>
      <c r="B157" t="s">
        <v>550</v>
      </c>
      <c r="C157" t="s">
        <v>199</v>
      </c>
      <c r="D157">
        <v>7.9550000000000001</v>
      </c>
    </row>
    <row r="158" spans="1:4" x14ac:dyDescent="0.3">
      <c r="A158" t="s">
        <v>551</v>
      </c>
      <c r="B158" t="s">
        <v>552</v>
      </c>
      <c r="C158" t="s">
        <v>553</v>
      </c>
      <c r="D158">
        <v>301.71499999999997</v>
      </c>
    </row>
    <row r="159" spans="1:4" x14ac:dyDescent="0.3">
      <c r="A159" t="s">
        <v>554</v>
      </c>
      <c r="B159" t="s">
        <v>555</v>
      </c>
      <c r="C159" t="s">
        <v>257</v>
      </c>
      <c r="D159">
        <v>444.09899999999999</v>
      </c>
    </row>
    <row r="160" spans="1:4" x14ac:dyDescent="0.3">
      <c r="A160" t="s">
        <v>556</v>
      </c>
      <c r="B160" t="s">
        <v>557</v>
      </c>
      <c r="C160" t="s">
        <v>198</v>
      </c>
      <c r="D160">
        <v>1.0509999999999999</v>
      </c>
    </row>
    <row r="161" spans="1:4" x14ac:dyDescent="0.3">
      <c r="A161" t="s">
        <v>558</v>
      </c>
      <c r="B161" t="s">
        <v>559</v>
      </c>
      <c r="C161" t="s">
        <v>452</v>
      </c>
      <c r="D161">
        <v>1.002</v>
      </c>
    </row>
    <row r="162" spans="1:4" x14ac:dyDescent="0.3">
      <c r="A162" t="s">
        <v>560</v>
      </c>
      <c r="B162" t="s">
        <v>561</v>
      </c>
      <c r="C162" t="s">
        <v>452</v>
      </c>
      <c r="D162">
        <v>0.60899999999999999</v>
      </c>
    </row>
    <row r="163" spans="1:4" x14ac:dyDescent="0.3">
      <c r="A163" t="s">
        <v>562</v>
      </c>
      <c r="B163" t="s">
        <v>563</v>
      </c>
      <c r="C163" t="s">
        <v>442</v>
      </c>
      <c r="D163">
        <v>4.2309999999999999</v>
      </c>
    </row>
    <row r="164" spans="1:4" x14ac:dyDescent="0.3">
      <c r="A164" t="s">
        <v>564</v>
      </c>
      <c r="B164" t="s">
        <v>565</v>
      </c>
      <c r="C164" t="s">
        <v>198</v>
      </c>
      <c r="D164">
        <v>2.0470000000000002</v>
      </c>
    </row>
    <row r="165" spans="1:4" x14ac:dyDescent="0.3">
      <c r="A165" t="s">
        <v>568</v>
      </c>
      <c r="B165" t="s">
        <v>569</v>
      </c>
      <c r="C165" t="s">
        <v>198</v>
      </c>
      <c r="D165">
        <v>380.47</v>
      </c>
    </row>
    <row r="166" spans="1:4" x14ac:dyDescent="0.3">
      <c r="A166" t="s">
        <v>570</v>
      </c>
      <c r="B166" t="s">
        <v>571</v>
      </c>
      <c r="C166" t="s">
        <v>284</v>
      </c>
      <c r="D166">
        <v>38.481999999999999</v>
      </c>
    </row>
    <row r="167" spans="1:4" x14ac:dyDescent="0.3">
      <c r="A167" t="s">
        <v>572</v>
      </c>
      <c r="B167" t="s">
        <v>573</v>
      </c>
      <c r="C167" t="s">
        <v>574</v>
      </c>
      <c r="D167">
        <v>32.957999999999998</v>
      </c>
    </row>
    <row r="168" spans="1:4" x14ac:dyDescent="0.3">
      <c r="A168" t="s">
        <v>575</v>
      </c>
      <c r="B168" t="s">
        <v>576</v>
      </c>
      <c r="C168" t="s">
        <v>257</v>
      </c>
      <c r="D168">
        <v>13.789</v>
      </c>
    </row>
    <row r="169" spans="1:4" x14ac:dyDescent="0.3">
      <c r="A169" t="s">
        <v>577</v>
      </c>
      <c r="B169" t="s">
        <v>578</v>
      </c>
      <c r="C169" t="s">
        <v>284</v>
      </c>
      <c r="D169">
        <v>70.51597000000001</v>
      </c>
    </row>
    <row r="170" spans="1:4" x14ac:dyDescent="0.3">
      <c r="A170" t="s">
        <v>579</v>
      </c>
      <c r="B170" t="s">
        <v>580</v>
      </c>
      <c r="C170" t="s">
        <v>284</v>
      </c>
      <c r="D170">
        <v>40.033000000000001</v>
      </c>
    </row>
    <row r="171" spans="1:4" x14ac:dyDescent="0.3">
      <c r="A171" t="s">
        <v>581</v>
      </c>
      <c r="B171" t="s">
        <v>582</v>
      </c>
      <c r="C171" t="s">
        <v>257</v>
      </c>
      <c r="D171">
        <v>9.8309999999999995</v>
      </c>
    </row>
    <row r="172" spans="1:4" x14ac:dyDescent="0.3">
      <c r="A172" t="s">
        <v>583</v>
      </c>
      <c r="B172" t="s">
        <v>584</v>
      </c>
      <c r="C172" t="s">
        <v>585</v>
      </c>
      <c r="D172">
        <v>329.57600000000002</v>
      </c>
    </row>
    <row r="173" spans="1:4" x14ac:dyDescent="0.3">
      <c r="A173" t="s">
        <v>586</v>
      </c>
      <c r="B173" t="s">
        <v>587</v>
      </c>
      <c r="C173" t="s">
        <v>284</v>
      </c>
      <c r="D173">
        <v>40.703000000000003</v>
      </c>
    </row>
    <row r="174" spans="1:4" x14ac:dyDescent="0.3">
      <c r="A174" t="s">
        <v>588</v>
      </c>
      <c r="B174" t="s">
        <v>589</v>
      </c>
      <c r="C174" t="s">
        <v>284</v>
      </c>
      <c r="D174">
        <v>34.417000000000002</v>
      </c>
    </row>
    <row r="175" spans="1:4" x14ac:dyDescent="0.3">
      <c r="A175" t="s">
        <v>590</v>
      </c>
      <c r="B175" t="s">
        <v>591</v>
      </c>
      <c r="C175" t="s">
        <v>284</v>
      </c>
      <c r="D175">
        <v>35.591000000000001</v>
      </c>
    </row>
    <row r="176" spans="1:4" x14ac:dyDescent="0.3">
      <c r="A176" t="s">
        <v>592</v>
      </c>
      <c r="B176" t="s">
        <v>593</v>
      </c>
      <c r="C176" t="s">
        <v>284</v>
      </c>
      <c r="D176">
        <v>40.722999999999999</v>
      </c>
    </row>
    <row r="177" spans="1:4" x14ac:dyDescent="0.3">
      <c r="A177" t="s">
        <v>594</v>
      </c>
      <c r="B177" t="s">
        <v>595</v>
      </c>
      <c r="C177" t="s">
        <v>284</v>
      </c>
      <c r="D177">
        <v>67.174999999999997</v>
      </c>
    </row>
    <row r="178" spans="1:4" x14ac:dyDescent="0.3">
      <c r="A178" t="s">
        <v>596</v>
      </c>
      <c r="B178" t="s">
        <v>597</v>
      </c>
      <c r="C178" t="s">
        <v>216</v>
      </c>
      <c r="D178">
        <v>63.173000000000002</v>
      </c>
    </row>
    <row r="179" spans="1:4" x14ac:dyDescent="0.3">
      <c r="A179" t="s">
        <v>598</v>
      </c>
      <c r="B179" t="s">
        <v>599</v>
      </c>
      <c r="C179" t="s">
        <v>284</v>
      </c>
      <c r="D179">
        <v>33.654000000000003</v>
      </c>
    </row>
    <row r="180" spans="1:4" x14ac:dyDescent="0.3">
      <c r="A180" t="s">
        <v>600</v>
      </c>
      <c r="B180" t="s">
        <v>601</v>
      </c>
      <c r="C180" t="s">
        <v>257</v>
      </c>
      <c r="D180">
        <v>14.063000000000001</v>
      </c>
    </row>
    <row r="181" spans="1:4" x14ac:dyDescent="0.3">
      <c r="A181" t="s">
        <v>602</v>
      </c>
      <c r="B181" t="s">
        <v>603</v>
      </c>
      <c r="C181" t="s">
        <v>494</v>
      </c>
      <c r="D181">
        <v>1.575</v>
      </c>
    </row>
    <row r="182" spans="1:4" x14ac:dyDescent="0.3">
      <c r="A182" t="s">
        <v>604</v>
      </c>
      <c r="B182" t="s">
        <v>605</v>
      </c>
      <c r="C182" t="s">
        <v>198</v>
      </c>
      <c r="D182">
        <v>24.279</v>
      </c>
    </row>
    <row r="183" spans="1:4" x14ac:dyDescent="0.3">
      <c r="A183" t="s">
        <v>606</v>
      </c>
      <c r="B183" t="s">
        <v>607</v>
      </c>
      <c r="C183" t="s">
        <v>198</v>
      </c>
      <c r="D183">
        <v>219.143</v>
      </c>
    </row>
    <row r="184" spans="1:4" x14ac:dyDescent="0.3">
      <c r="A184" t="s">
        <v>608</v>
      </c>
      <c r="B184" t="s">
        <v>609</v>
      </c>
      <c r="C184" t="s">
        <v>610</v>
      </c>
      <c r="D184">
        <v>0.29799999999999999</v>
      </c>
    </row>
    <row r="185" spans="1:4" x14ac:dyDescent="0.3">
      <c r="A185" t="s">
        <v>611</v>
      </c>
      <c r="B185" t="s">
        <v>612</v>
      </c>
      <c r="C185" t="s">
        <v>273</v>
      </c>
      <c r="D185">
        <v>4.6029999999999998</v>
      </c>
    </row>
    <row r="186" spans="1:4" x14ac:dyDescent="0.3">
      <c r="A186" t="s">
        <v>613</v>
      </c>
      <c r="B186" t="s">
        <v>614</v>
      </c>
      <c r="C186" t="s">
        <v>200</v>
      </c>
      <c r="D186">
        <v>1.083</v>
      </c>
    </row>
    <row r="187" spans="1:4" x14ac:dyDescent="0.3">
      <c r="A187" t="s">
        <v>615</v>
      </c>
      <c r="B187" t="s">
        <v>616</v>
      </c>
      <c r="C187" t="s">
        <v>209</v>
      </c>
      <c r="D187">
        <v>18.067</v>
      </c>
    </row>
    <row r="188" spans="1:4" x14ac:dyDescent="0.3">
      <c r="A188" t="s">
        <v>617</v>
      </c>
      <c r="B188" t="s">
        <v>618</v>
      </c>
      <c r="C188" t="s">
        <v>198</v>
      </c>
      <c r="D188">
        <v>22.358000000000001</v>
      </c>
    </row>
    <row r="189" spans="1:4" x14ac:dyDescent="0.3">
      <c r="A189" t="s">
        <v>619</v>
      </c>
      <c r="B189" t="s">
        <v>620</v>
      </c>
      <c r="C189" t="s">
        <v>371</v>
      </c>
      <c r="D189">
        <v>0.17499999999999999</v>
      </c>
    </row>
    <row r="190" spans="1:4" x14ac:dyDescent="0.3">
      <c r="A190" t="s">
        <v>621</v>
      </c>
      <c r="B190" t="s">
        <v>622</v>
      </c>
      <c r="C190" t="s">
        <v>432</v>
      </c>
      <c r="D190">
        <v>0.19700000000000001</v>
      </c>
    </row>
    <row r="191" spans="1:4" x14ac:dyDescent="0.3">
      <c r="A191" t="s">
        <v>623</v>
      </c>
      <c r="B191" t="s">
        <v>624</v>
      </c>
      <c r="C191" t="s">
        <v>625</v>
      </c>
      <c r="D191">
        <v>15.406000000000001</v>
      </c>
    </row>
    <row r="192" spans="1:4" x14ac:dyDescent="0.3">
      <c r="A192" t="s">
        <v>626</v>
      </c>
      <c r="B192" t="s">
        <v>627</v>
      </c>
      <c r="C192" t="s">
        <v>199</v>
      </c>
      <c r="D192">
        <v>0.82699999999999996</v>
      </c>
    </row>
    <row r="193" spans="1:4" x14ac:dyDescent="0.3">
      <c r="A193" t="s">
        <v>628</v>
      </c>
      <c r="B193" t="s">
        <v>629</v>
      </c>
      <c r="C193" t="s">
        <v>396</v>
      </c>
      <c r="D193">
        <v>2.3620000000000001</v>
      </c>
    </row>
    <row r="194" spans="1:4" x14ac:dyDescent="0.3">
      <c r="A194" t="s">
        <v>630</v>
      </c>
      <c r="B194" t="s">
        <v>631</v>
      </c>
      <c r="C194" t="s">
        <v>632</v>
      </c>
      <c r="D194">
        <v>485.59699999999998</v>
      </c>
    </row>
    <row r="195" spans="1:4" x14ac:dyDescent="0.3">
      <c r="A195" t="s">
        <v>633</v>
      </c>
      <c r="B195" t="s">
        <v>634</v>
      </c>
      <c r="C195" t="s">
        <v>257</v>
      </c>
      <c r="D195">
        <v>11.930999999999999</v>
      </c>
    </row>
    <row r="196" spans="1:4" x14ac:dyDescent="0.3">
      <c r="A196" t="s">
        <v>635</v>
      </c>
      <c r="B196" t="s">
        <v>636</v>
      </c>
      <c r="C196" t="s">
        <v>198</v>
      </c>
      <c r="D196">
        <v>84.885999999999996</v>
      </c>
    </row>
    <row r="197" spans="1:4" x14ac:dyDescent="0.3">
      <c r="A197" t="s">
        <v>637</v>
      </c>
      <c r="B197" t="s">
        <v>638</v>
      </c>
      <c r="C197" t="s">
        <v>198</v>
      </c>
      <c r="D197">
        <v>200.05199999999999</v>
      </c>
    </row>
    <row r="198" spans="1:4" x14ac:dyDescent="0.3">
      <c r="A198" t="s">
        <v>639</v>
      </c>
      <c r="B198" t="s">
        <v>640</v>
      </c>
      <c r="C198" t="s">
        <v>198</v>
      </c>
      <c r="D198">
        <v>542.86</v>
      </c>
    </row>
    <row r="199" spans="1:4" x14ac:dyDescent="0.3">
      <c r="A199" t="s">
        <v>641</v>
      </c>
      <c r="B199" t="s">
        <v>642</v>
      </c>
      <c r="C199" t="s">
        <v>199</v>
      </c>
      <c r="D199">
        <v>85.811000000000007</v>
      </c>
    </row>
    <row r="200" spans="1:4" x14ac:dyDescent="0.3">
      <c r="A200" t="s">
        <v>643</v>
      </c>
      <c r="B200" t="s">
        <v>644</v>
      </c>
      <c r="C200" t="s">
        <v>209</v>
      </c>
      <c r="D200">
        <v>13.035</v>
      </c>
    </row>
    <row r="201" spans="1:4" x14ac:dyDescent="0.3">
      <c r="A201" t="s">
        <v>645</v>
      </c>
      <c r="B201" t="s">
        <v>646</v>
      </c>
      <c r="C201" t="s">
        <v>198</v>
      </c>
      <c r="D201">
        <v>0.23799999999999999</v>
      </c>
    </row>
    <row r="202" spans="1:4" x14ac:dyDescent="0.3">
      <c r="A202" t="s">
        <v>647</v>
      </c>
      <c r="B202" t="s">
        <v>648</v>
      </c>
      <c r="C202" t="s">
        <v>371</v>
      </c>
      <c r="D202">
        <v>41.697000000000003</v>
      </c>
    </row>
    <row r="203" spans="1:4" x14ac:dyDescent="0.3">
      <c r="A203" t="s">
        <v>649</v>
      </c>
      <c r="B203" t="s">
        <v>650</v>
      </c>
      <c r="C203" t="s">
        <v>198</v>
      </c>
      <c r="D203">
        <v>1.718</v>
      </c>
    </row>
    <row r="204" spans="1:4" x14ac:dyDescent="0.3">
      <c r="A204" t="s">
        <v>651</v>
      </c>
      <c r="B204" t="s">
        <v>652</v>
      </c>
      <c r="C204" t="s">
        <v>653</v>
      </c>
      <c r="D204">
        <v>0.86099999999999999</v>
      </c>
    </row>
    <row r="205" spans="1:4" x14ac:dyDescent="0.3">
      <c r="A205" t="s">
        <v>654</v>
      </c>
      <c r="B205" t="s">
        <v>655</v>
      </c>
      <c r="C205" t="s">
        <v>656</v>
      </c>
      <c r="D205">
        <v>10.106999999999999</v>
      </c>
    </row>
    <row r="206" spans="1:4" x14ac:dyDescent="0.3">
      <c r="A206" t="s">
        <v>657</v>
      </c>
      <c r="B206" t="s">
        <v>658</v>
      </c>
      <c r="C206" t="s">
        <v>659</v>
      </c>
      <c r="D206">
        <v>0.59899999999999998</v>
      </c>
    </row>
    <row r="207" spans="1:4" x14ac:dyDescent="0.3">
      <c r="A207" t="s">
        <v>660</v>
      </c>
      <c r="B207" t="s">
        <v>661</v>
      </c>
      <c r="C207" t="s">
        <v>198</v>
      </c>
      <c r="D207">
        <v>56.692</v>
      </c>
    </row>
    <row r="208" spans="1:4" x14ac:dyDescent="0.3">
      <c r="A208" t="s">
        <v>662</v>
      </c>
      <c r="B208" t="s">
        <v>663</v>
      </c>
      <c r="C208" t="s">
        <v>273</v>
      </c>
      <c r="D208">
        <v>30.614000000000001</v>
      </c>
    </row>
    <row r="209" spans="1:4" x14ac:dyDescent="0.3">
      <c r="A209" t="s">
        <v>664</v>
      </c>
      <c r="B209" t="s">
        <v>665</v>
      </c>
      <c r="C209" t="s">
        <v>311</v>
      </c>
      <c r="D209">
        <v>0.97799999999999998</v>
      </c>
    </row>
    <row r="210" spans="1:4" x14ac:dyDescent="0.3">
      <c r="A210" t="s">
        <v>666</v>
      </c>
      <c r="B210" t="s">
        <v>667</v>
      </c>
      <c r="C210" t="s">
        <v>198</v>
      </c>
      <c r="D210">
        <v>2.4300000000000002</v>
      </c>
    </row>
    <row r="211" spans="1:4" x14ac:dyDescent="0.3">
      <c r="A211" t="s">
        <v>668</v>
      </c>
      <c r="B211" t="s">
        <v>669</v>
      </c>
      <c r="C211" t="s">
        <v>670</v>
      </c>
      <c r="D211">
        <v>1087.452</v>
      </c>
    </row>
    <row r="212" spans="1:4" x14ac:dyDescent="0.3">
      <c r="A212" t="s">
        <v>671</v>
      </c>
      <c r="B212" t="s">
        <v>672</v>
      </c>
      <c r="C212" t="s">
        <v>199</v>
      </c>
      <c r="D212">
        <v>9.0999999999999998E-2</v>
      </c>
    </row>
    <row r="213" spans="1:4" x14ac:dyDescent="0.3">
      <c r="A213" t="s">
        <v>673</v>
      </c>
      <c r="B213" t="s">
        <v>674</v>
      </c>
      <c r="C213" t="s">
        <v>405</v>
      </c>
      <c r="D213">
        <v>24.998999999999999</v>
      </c>
    </row>
    <row r="214" spans="1:4" x14ac:dyDescent="0.3">
      <c r="A214" t="s">
        <v>675</v>
      </c>
      <c r="B214" t="s">
        <v>676</v>
      </c>
      <c r="C214" t="s">
        <v>295</v>
      </c>
      <c r="D214">
        <v>1.353</v>
      </c>
    </row>
    <row r="215" spans="1:4" x14ac:dyDescent="0.3">
      <c r="A215" t="s">
        <v>677</v>
      </c>
      <c r="B215" t="s">
        <v>678</v>
      </c>
      <c r="C215" t="s">
        <v>458</v>
      </c>
      <c r="D215">
        <v>27.623000000000001</v>
      </c>
    </row>
    <row r="216" spans="1:4" x14ac:dyDescent="0.3">
      <c r="A216" t="s">
        <v>679</v>
      </c>
      <c r="B216" t="s">
        <v>680</v>
      </c>
      <c r="C216" t="s">
        <v>199</v>
      </c>
      <c r="D216">
        <v>1.9E-2</v>
      </c>
    </row>
    <row r="217" spans="1:4" x14ac:dyDescent="0.3">
      <c r="A217" t="s">
        <v>681</v>
      </c>
      <c r="B217" t="s">
        <v>682</v>
      </c>
      <c r="C217" t="s">
        <v>683</v>
      </c>
      <c r="D217">
        <v>13.387</v>
      </c>
    </row>
    <row r="218" spans="1:4" x14ac:dyDescent="0.3">
      <c r="A218" t="s">
        <v>684</v>
      </c>
      <c r="B218" t="s">
        <v>685</v>
      </c>
      <c r="C218" t="s">
        <v>442</v>
      </c>
      <c r="D218">
        <v>13.007999999999999</v>
      </c>
    </row>
    <row r="219" spans="1:4" x14ac:dyDescent="0.3">
      <c r="A219" t="s">
        <v>686</v>
      </c>
      <c r="B219" t="s">
        <v>687</v>
      </c>
      <c r="C219" t="s">
        <v>688</v>
      </c>
      <c r="D219">
        <v>0.71899999999999997</v>
      </c>
    </row>
    <row r="220" spans="1:4" x14ac:dyDescent="0.3">
      <c r="A220" t="s">
        <v>689</v>
      </c>
      <c r="B220" t="s">
        <v>690</v>
      </c>
      <c r="C220" t="s">
        <v>522</v>
      </c>
      <c r="D220">
        <v>2.391</v>
      </c>
    </row>
    <row r="221" spans="1:4" x14ac:dyDescent="0.3">
      <c r="A221" t="s">
        <v>691</v>
      </c>
      <c r="B221" t="s">
        <v>692</v>
      </c>
      <c r="C221" t="s">
        <v>257</v>
      </c>
      <c r="D221">
        <v>4.43</v>
      </c>
    </row>
    <row r="222" spans="1:4" x14ac:dyDescent="0.3">
      <c r="A222" t="s">
        <v>695</v>
      </c>
      <c r="B222" t="s">
        <v>696</v>
      </c>
      <c r="C222" t="s">
        <v>257</v>
      </c>
      <c r="D222">
        <v>1.004</v>
      </c>
    </row>
    <row r="223" spans="1:4" x14ac:dyDescent="0.3">
      <c r="A223" t="s">
        <v>697</v>
      </c>
      <c r="B223" t="s">
        <v>698</v>
      </c>
      <c r="C223" t="s">
        <v>699</v>
      </c>
      <c r="D223">
        <v>14.561</v>
      </c>
    </row>
    <row r="224" spans="1:4" x14ac:dyDescent="0.3">
      <c r="A224" t="s">
        <v>700</v>
      </c>
      <c r="B224" t="s">
        <v>701</v>
      </c>
      <c r="C224" t="s">
        <v>198</v>
      </c>
      <c r="D224">
        <v>0.92100000000000004</v>
      </c>
    </row>
    <row r="225" spans="1:4" x14ac:dyDescent="0.3">
      <c r="A225" t="s">
        <v>702</v>
      </c>
      <c r="B225" t="s">
        <v>703</v>
      </c>
      <c r="C225" t="s">
        <v>198</v>
      </c>
      <c r="D225">
        <v>0.122</v>
      </c>
    </row>
    <row r="226" spans="1:4" x14ac:dyDescent="0.3">
      <c r="A226" t="s">
        <v>704</v>
      </c>
      <c r="B226" t="s">
        <v>705</v>
      </c>
      <c r="C226" t="s">
        <v>200</v>
      </c>
      <c r="D226">
        <v>1.595</v>
      </c>
    </row>
    <row r="227" spans="1:4" x14ac:dyDescent="0.3">
      <c r="A227" t="s">
        <v>706</v>
      </c>
      <c r="B227" t="s">
        <v>707</v>
      </c>
      <c r="C227" t="s">
        <v>199</v>
      </c>
      <c r="D227">
        <v>2.036</v>
      </c>
    </row>
    <row r="228" spans="1:4" x14ac:dyDescent="0.3">
      <c r="A228" t="s">
        <v>708</v>
      </c>
      <c r="B228" t="s">
        <v>709</v>
      </c>
      <c r="C228" t="s">
        <v>199</v>
      </c>
      <c r="D228">
        <v>11.493</v>
      </c>
    </row>
    <row r="229" spans="1:4" x14ac:dyDescent="0.3">
      <c r="A229" t="s">
        <v>710</v>
      </c>
      <c r="B229" t="s">
        <v>711</v>
      </c>
      <c r="C229" t="s">
        <v>452</v>
      </c>
      <c r="D229">
        <v>7.4379999999999997</v>
      </c>
    </row>
    <row r="230" spans="1:4" x14ac:dyDescent="0.3">
      <c r="A230" t="s">
        <v>712</v>
      </c>
      <c r="B230" t="s">
        <v>713</v>
      </c>
      <c r="C230" t="s">
        <v>257</v>
      </c>
      <c r="D230">
        <v>8.9019999999999992</v>
      </c>
    </row>
    <row r="231" spans="1:4" x14ac:dyDescent="0.3">
      <c r="A231" t="s">
        <v>714</v>
      </c>
      <c r="B231" t="s">
        <v>715</v>
      </c>
      <c r="C231" t="s">
        <v>199</v>
      </c>
      <c r="D231">
        <v>2.613</v>
      </c>
    </row>
    <row r="232" spans="1:4" x14ac:dyDescent="0.3">
      <c r="A232" t="s">
        <v>716</v>
      </c>
      <c r="B232" t="s">
        <v>717</v>
      </c>
      <c r="C232" t="s">
        <v>198</v>
      </c>
      <c r="D232">
        <v>27.573</v>
      </c>
    </row>
    <row r="233" spans="1:4" x14ac:dyDescent="0.3">
      <c r="A233" t="s">
        <v>718</v>
      </c>
      <c r="B233" t="s">
        <v>719</v>
      </c>
      <c r="C233" t="s">
        <v>198</v>
      </c>
      <c r="D233">
        <v>3.2530000000000001</v>
      </c>
    </row>
    <row r="234" spans="1:4" x14ac:dyDescent="0.3">
      <c r="A234" t="s">
        <v>720</v>
      </c>
      <c r="B234" t="s">
        <v>721</v>
      </c>
      <c r="C234" t="s">
        <v>198</v>
      </c>
      <c r="D234">
        <v>19.414999999999999</v>
      </c>
    </row>
    <row r="235" spans="1:4" x14ac:dyDescent="0.3">
      <c r="A235" t="s">
        <v>722</v>
      </c>
      <c r="B235" t="s">
        <v>723</v>
      </c>
      <c r="C235" t="s">
        <v>198</v>
      </c>
      <c r="D235">
        <v>57.082999999999998</v>
      </c>
    </row>
    <row r="236" spans="1:4" x14ac:dyDescent="0.3">
      <c r="A236" t="s">
        <v>724</v>
      </c>
      <c r="B236" t="s">
        <v>725</v>
      </c>
      <c r="C236" t="s">
        <v>198</v>
      </c>
      <c r="D236">
        <v>190.678</v>
      </c>
    </row>
    <row r="237" spans="1:4" x14ac:dyDescent="0.3">
      <c r="A237" t="s">
        <v>726</v>
      </c>
      <c r="B237" t="s">
        <v>727</v>
      </c>
      <c r="C237" t="s">
        <v>728</v>
      </c>
      <c r="D237">
        <v>0.872</v>
      </c>
    </row>
    <row r="238" spans="1:4" x14ac:dyDescent="0.3">
      <c r="A238" t="s">
        <v>2404</v>
      </c>
      <c r="B238" t="s">
        <v>2405</v>
      </c>
      <c r="C238" t="s">
        <v>200</v>
      </c>
      <c r="D238">
        <v>467.21620000000001</v>
      </c>
    </row>
    <row r="239" spans="1:4" x14ac:dyDescent="0.3">
      <c r="A239" t="s">
        <v>729</v>
      </c>
      <c r="B239" t="s">
        <v>730</v>
      </c>
      <c r="C239" t="s">
        <v>200</v>
      </c>
      <c r="D239">
        <v>34.94</v>
      </c>
    </row>
    <row r="240" spans="1:4" x14ac:dyDescent="0.3">
      <c r="A240" t="s">
        <v>731</v>
      </c>
      <c r="B240" t="s">
        <v>732</v>
      </c>
      <c r="C240" t="s">
        <v>198</v>
      </c>
      <c r="D240">
        <v>2.9169999999999998</v>
      </c>
    </row>
    <row r="241" spans="1:4" x14ac:dyDescent="0.3">
      <c r="A241" t="s">
        <v>733</v>
      </c>
      <c r="B241" t="s">
        <v>734</v>
      </c>
      <c r="C241" t="s">
        <v>735</v>
      </c>
      <c r="D241">
        <v>6.5330000000000004</v>
      </c>
    </row>
    <row r="242" spans="1:4" x14ac:dyDescent="0.3">
      <c r="A242" t="s">
        <v>736</v>
      </c>
      <c r="B242" t="s">
        <v>737</v>
      </c>
      <c r="C242" t="s">
        <v>738</v>
      </c>
      <c r="D242">
        <v>22.154</v>
      </c>
    </row>
    <row r="243" spans="1:4" x14ac:dyDescent="0.3">
      <c r="A243" t="s">
        <v>739</v>
      </c>
      <c r="B243" t="s">
        <v>740</v>
      </c>
      <c r="C243" t="s">
        <v>198</v>
      </c>
      <c r="D243">
        <v>8.4000000000000005E-2</v>
      </c>
    </row>
    <row r="244" spans="1:4" x14ac:dyDescent="0.3">
      <c r="A244" t="s">
        <v>741</v>
      </c>
      <c r="B244" t="s">
        <v>742</v>
      </c>
      <c r="C244" t="s">
        <v>199</v>
      </c>
      <c r="D244">
        <v>23.24</v>
      </c>
    </row>
    <row r="245" spans="1:4" x14ac:dyDescent="0.3">
      <c r="A245" t="s">
        <v>743</v>
      </c>
      <c r="B245" t="s">
        <v>744</v>
      </c>
      <c r="C245" t="s">
        <v>325</v>
      </c>
      <c r="D245">
        <v>19.094000000000001</v>
      </c>
    </row>
    <row r="246" spans="1:4" x14ac:dyDescent="0.3">
      <c r="A246" t="s">
        <v>745</v>
      </c>
      <c r="B246" t="s">
        <v>746</v>
      </c>
      <c r="C246" t="s">
        <v>198</v>
      </c>
      <c r="D246">
        <v>10.372</v>
      </c>
    </row>
    <row r="247" spans="1:4" x14ac:dyDescent="0.3">
      <c r="A247" t="s">
        <v>747</v>
      </c>
      <c r="B247" t="s">
        <v>748</v>
      </c>
      <c r="C247" t="s">
        <v>749</v>
      </c>
      <c r="D247">
        <v>9.8360000000000003</v>
      </c>
    </row>
    <row r="248" spans="1:4" x14ac:dyDescent="0.3">
      <c r="A248" t="s">
        <v>750</v>
      </c>
      <c r="B248" t="s">
        <v>751</v>
      </c>
      <c r="C248" t="s">
        <v>728</v>
      </c>
      <c r="D248">
        <v>20.302</v>
      </c>
    </row>
    <row r="249" spans="1:4" x14ac:dyDescent="0.3">
      <c r="A249" t="s">
        <v>752</v>
      </c>
      <c r="B249" t="s">
        <v>753</v>
      </c>
      <c r="C249" t="s">
        <v>452</v>
      </c>
      <c r="D249">
        <v>0.78600000000000014</v>
      </c>
    </row>
    <row r="250" spans="1:4" x14ac:dyDescent="0.3">
      <c r="A250" t="s">
        <v>754</v>
      </c>
      <c r="B250" t="s">
        <v>755</v>
      </c>
      <c r="C250" t="s">
        <v>756</v>
      </c>
      <c r="D250">
        <v>721.24800000000005</v>
      </c>
    </row>
    <row r="251" spans="1:4" x14ac:dyDescent="0.3">
      <c r="A251" t="s">
        <v>757</v>
      </c>
      <c r="B251" t="s">
        <v>758</v>
      </c>
      <c r="C251" t="s">
        <v>759</v>
      </c>
      <c r="D251">
        <v>358.98700000000002</v>
      </c>
    </row>
    <row r="252" spans="1:4" x14ac:dyDescent="0.3">
      <c r="A252" t="s">
        <v>760</v>
      </c>
      <c r="B252" t="s">
        <v>761</v>
      </c>
      <c r="C252" t="s">
        <v>762</v>
      </c>
      <c r="D252">
        <v>4442.3050000000003</v>
      </c>
    </row>
    <row r="253" spans="1:4" x14ac:dyDescent="0.3">
      <c r="A253" t="s">
        <v>763</v>
      </c>
      <c r="B253" t="s">
        <v>764</v>
      </c>
      <c r="C253" t="s">
        <v>198</v>
      </c>
      <c r="D253">
        <v>2060.48</v>
      </c>
    </row>
    <row r="254" spans="1:4" x14ac:dyDescent="0.3">
      <c r="A254" t="s">
        <v>765</v>
      </c>
      <c r="B254" t="s">
        <v>766</v>
      </c>
      <c r="C254" t="s">
        <v>767</v>
      </c>
      <c r="D254">
        <v>29.294690000000003</v>
      </c>
    </row>
    <row r="255" spans="1:4" x14ac:dyDescent="0.3">
      <c r="A255" t="s">
        <v>768</v>
      </c>
      <c r="B255" t="s">
        <v>769</v>
      </c>
      <c r="C255" t="s">
        <v>209</v>
      </c>
      <c r="D255">
        <v>51.188000000000002</v>
      </c>
    </row>
    <row r="256" spans="1:4" x14ac:dyDescent="0.3">
      <c r="A256" t="s">
        <v>770</v>
      </c>
      <c r="B256" t="s">
        <v>771</v>
      </c>
      <c r="C256" t="s">
        <v>767</v>
      </c>
      <c r="D256">
        <v>1.1120000000000001</v>
      </c>
    </row>
    <row r="257" spans="1:4" x14ac:dyDescent="0.3">
      <c r="A257" t="s">
        <v>772</v>
      </c>
      <c r="B257" t="s">
        <v>773</v>
      </c>
      <c r="C257" t="s">
        <v>774</v>
      </c>
      <c r="D257">
        <v>2.7719999999999998</v>
      </c>
    </row>
    <row r="258" spans="1:4" x14ac:dyDescent="0.3">
      <c r="A258" t="s">
        <v>775</v>
      </c>
      <c r="B258" t="s">
        <v>776</v>
      </c>
      <c r="C258" t="s">
        <v>683</v>
      </c>
      <c r="D258">
        <v>117.31</v>
      </c>
    </row>
    <row r="259" spans="1:4" x14ac:dyDescent="0.3">
      <c r="A259" t="s">
        <v>777</v>
      </c>
      <c r="B259" t="s">
        <v>778</v>
      </c>
      <c r="C259" t="s">
        <v>209</v>
      </c>
      <c r="D259">
        <v>2.4670000000000001</v>
      </c>
    </row>
    <row r="260" spans="1:4" x14ac:dyDescent="0.3">
      <c r="A260" t="s">
        <v>779</v>
      </c>
      <c r="B260" t="s">
        <v>780</v>
      </c>
      <c r="C260" t="s">
        <v>781</v>
      </c>
      <c r="D260">
        <v>37.283000000000001</v>
      </c>
    </row>
    <row r="261" spans="1:4" x14ac:dyDescent="0.3">
      <c r="A261" t="s">
        <v>782</v>
      </c>
      <c r="B261" t="s">
        <v>783</v>
      </c>
      <c r="C261" t="s">
        <v>198</v>
      </c>
      <c r="D261">
        <v>314.43799999999999</v>
      </c>
    </row>
    <row r="262" spans="1:4" x14ac:dyDescent="0.3">
      <c r="A262" t="s">
        <v>784</v>
      </c>
      <c r="B262" t="s">
        <v>785</v>
      </c>
      <c r="C262" t="s">
        <v>452</v>
      </c>
      <c r="D262">
        <v>12.901999999999999</v>
      </c>
    </row>
    <row r="263" spans="1:4" x14ac:dyDescent="0.3">
      <c r="A263" t="s">
        <v>786</v>
      </c>
      <c r="B263" t="s">
        <v>787</v>
      </c>
      <c r="C263" t="s">
        <v>209</v>
      </c>
      <c r="D263">
        <v>1.3</v>
      </c>
    </row>
    <row r="264" spans="1:4" x14ac:dyDescent="0.3">
      <c r="A264" t="s">
        <v>788</v>
      </c>
      <c r="B264" t="s">
        <v>789</v>
      </c>
      <c r="C264" t="s">
        <v>553</v>
      </c>
      <c r="D264">
        <v>16.335999999999999</v>
      </c>
    </row>
    <row r="265" spans="1:4" x14ac:dyDescent="0.3">
      <c r="A265" t="s">
        <v>790</v>
      </c>
      <c r="B265" t="s">
        <v>791</v>
      </c>
      <c r="C265" t="s">
        <v>405</v>
      </c>
      <c r="D265">
        <v>70.866</v>
      </c>
    </row>
    <row r="266" spans="1:4" x14ac:dyDescent="0.3">
      <c r="A266" t="s">
        <v>792</v>
      </c>
      <c r="B266" t="s">
        <v>793</v>
      </c>
      <c r="C266" t="s">
        <v>295</v>
      </c>
      <c r="D266">
        <v>1.488</v>
      </c>
    </row>
    <row r="267" spans="1:4" x14ac:dyDescent="0.3">
      <c r="A267" t="s">
        <v>794</v>
      </c>
      <c r="B267" t="s">
        <v>795</v>
      </c>
      <c r="C267" t="s">
        <v>199</v>
      </c>
      <c r="D267">
        <v>0.11799999999999999</v>
      </c>
    </row>
    <row r="268" spans="1:4" x14ac:dyDescent="0.3">
      <c r="A268" t="s">
        <v>796</v>
      </c>
      <c r="B268" t="s">
        <v>797</v>
      </c>
      <c r="C268" t="s">
        <v>199</v>
      </c>
      <c r="D268">
        <v>0.88500000000000001</v>
      </c>
    </row>
    <row r="269" spans="1:4" x14ac:dyDescent="0.3">
      <c r="A269" t="s">
        <v>798</v>
      </c>
      <c r="B269" t="s">
        <v>799</v>
      </c>
      <c r="C269" t="s">
        <v>371</v>
      </c>
      <c r="D269">
        <v>15.163</v>
      </c>
    </row>
    <row r="270" spans="1:4" x14ac:dyDescent="0.3">
      <c r="A270" t="s">
        <v>802</v>
      </c>
      <c r="B270" t="s">
        <v>803</v>
      </c>
      <c r="C270" t="s">
        <v>199</v>
      </c>
      <c r="D270">
        <v>0.92700000000000005</v>
      </c>
    </row>
    <row r="271" spans="1:4" x14ac:dyDescent="0.3">
      <c r="A271" t="s">
        <v>804</v>
      </c>
      <c r="B271" t="s">
        <v>805</v>
      </c>
      <c r="C271" t="s">
        <v>284</v>
      </c>
      <c r="D271">
        <v>418.19799999999998</v>
      </c>
    </row>
    <row r="272" spans="1:4" x14ac:dyDescent="0.3">
      <c r="A272" t="s">
        <v>806</v>
      </c>
      <c r="B272" t="s">
        <v>807</v>
      </c>
      <c r="C272" t="s">
        <v>808</v>
      </c>
      <c r="D272">
        <v>386.55</v>
      </c>
    </row>
    <row r="273" spans="1:4" x14ac:dyDescent="0.3">
      <c r="A273" t="s">
        <v>809</v>
      </c>
      <c r="B273" t="s">
        <v>810</v>
      </c>
      <c r="C273" t="s">
        <v>553</v>
      </c>
      <c r="D273">
        <v>6.0830000000000002</v>
      </c>
    </row>
    <row r="274" spans="1:4" x14ac:dyDescent="0.3">
      <c r="A274" t="s">
        <v>811</v>
      </c>
      <c r="B274" t="s">
        <v>812</v>
      </c>
      <c r="C274" t="s">
        <v>396</v>
      </c>
      <c r="D274">
        <v>263.51</v>
      </c>
    </row>
    <row r="275" spans="1:4" x14ac:dyDescent="0.3">
      <c r="A275" t="s">
        <v>813</v>
      </c>
      <c r="B275" t="s">
        <v>814</v>
      </c>
      <c r="C275" t="s">
        <v>273</v>
      </c>
      <c r="D275">
        <v>56.545999999999999</v>
      </c>
    </row>
    <row r="276" spans="1:4" x14ac:dyDescent="0.3">
      <c r="A276" t="s">
        <v>817</v>
      </c>
      <c r="B276" t="s">
        <v>818</v>
      </c>
      <c r="C276" t="s">
        <v>819</v>
      </c>
      <c r="D276">
        <v>26.997</v>
      </c>
    </row>
    <row r="277" spans="1:4" x14ac:dyDescent="0.3">
      <c r="A277" t="s">
        <v>820</v>
      </c>
      <c r="B277" t="s">
        <v>821</v>
      </c>
      <c r="C277" t="s">
        <v>822</v>
      </c>
      <c r="D277">
        <v>80.367000000000004</v>
      </c>
    </row>
    <row r="278" spans="1:4" x14ac:dyDescent="0.3">
      <c r="A278" t="s">
        <v>823</v>
      </c>
      <c r="B278" t="s">
        <v>824</v>
      </c>
      <c r="C278" t="s">
        <v>825</v>
      </c>
      <c r="D278">
        <v>4.8760000000000003</v>
      </c>
    </row>
    <row r="279" spans="1:4" x14ac:dyDescent="0.3">
      <c r="A279" t="s">
        <v>826</v>
      </c>
      <c r="B279" t="s">
        <v>827</v>
      </c>
      <c r="C279" t="s">
        <v>825</v>
      </c>
      <c r="D279">
        <v>25.312999999999999</v>
      </c>
    </row>
    <row r="280" spans="1:4" x14ac:dyDescent="0.3">
      <c r="A280" t="s">
        <v>828</v>
      </c>
      <c r="B280" t="s">
        <v>829</v>
      </c>
      <c r="C280" t="s">
        <v>396</v>
      </c>
      <c r="D280">
        <v>8.9570000000000007</v>
      </c>
    </row>
    <row r="281" spans="1:4" x14ac:dyDescent="0.3">
      <c r="A281" t="s">
        <v>830</v>
      </c>
      <c r="B281" t="s">
        <v>831</v>
      </c>
      <c r="C281" t="s">
        <v>198</v>
      </c>
      <c r="D281">
        <v>7.5999999999999998E-2</v>
      </c>
    </row>
    <row r="282" spans="1:4" x14ac:dyDescent="0.3">
      <c r="A282" t="s">
        <v>832</v>
      </c>
      <c r="B282" t="s">
        <v>833</v>
      </c>
      <c r="C282" t="s">
        <v>834</v>
      </c>
      <c r="D282">
        <v>68.058000000000007</v>
      </c>
    </row>
    <row r="283" spans="1:4" x14ac:dyDescent="0.3">
      <c r="A283" t="s">
        <v>835</v>
      </c>
      <c r="B283" t="s">
        <v>836</v>
      </c>
      <c r="C283" t="s">
        <v>381</v>
      </c>
      <c r="D283">
        <v>33.923999999999999</v>
      </c>
    </row>
    <row r="284" spans="1:4" x14ac:dyDescent="0.3">
      <c r="A284" t="s">
        <v>837</v>
      </c>
      <c r="B284" t="s">
        <v>838</v>
      </c>
      <c r="C284" t="s">
        <v>839</v>
      </c>
      <c r="D284">
        <v>104.78</v>
      </c>
    </row>
    <row r="285" spans="1:4" x14ac:dyDescent="0.3">
      <c r="A285" t="s">
        <v>840</v>
      </c>
      <c r="B285" t="s">
        <v>841</v>
      </c>
      <c r="C285" t="s">
        <v>491</v>
      </c>
      <c r="D285">
        <v>0.307</v>
      </c>
    </row>
    <row r="286" spans="1:4" x14ac:dyDescent="0.3">
      <c r="A286" t="s">
        <v>842</v>
      </c>
      <c r="B286" t="s">
        <v>843</v>
      </c>
      <c r="C286" t="s">
        <v>325</v>
      </c>
      <c r="D286">
        <v>37.790999999999997</v>
      </c>
    </row>
    <row r="287" spans="1:4" x14ac:dyDescent="0.3">
      <c r="A287" t="s">
        <v>846</v>
      </c>
      <c r="B287" t="s">
        <v>847</v>
      </c>
      <c r="C287" t="s">
        <v>848</v>
      </c>
      <c r="D287">
        <v>2.1560000000000001</v>
      </c>
    </row>
    <row r="288" spans="1:4" x14ac:dyDescent="0.3">
      <c r="A288" t="s">
        <v>849</v>
      </c>
      <c r="B288" t="s">
        <v>850</v>
      </c>
      <c r="C288" t="s">
        <v>491</v>
      </c>
      <c r="D288">
        <v>4.3460000000000001</v>
      </c>
    </row>
    <row r="289" spans="1:4" x14ac:dyDescent="0.3">
      <c r="A289" t="s">
        <v>851</v>
      </c>
      <c r="B289" t="s">
        <v>850</v>
      </c>
      <c r="C289" t="s">
        <v>852</v>
      </c>
      <c r="D289">
        <v>5.9850000000000003</v>
      </c>
    </row>
    <row r="290" spans="1:4" x14ac:dyDescent="0.3">
      <c r="A290" t="s">
        <v>853</v>
      </c>
      <c r="B290" t="s">
        <v>854</v>
      </c>
      <c r="C290" t="s">
        <v>198</v>
      </c>
      <c r="D290">
        <v>84.951999999999998</v>
      </c>
    </row>
    <row r="291" spans="1:4" x14ac:dyDescent="0.3">
      <c r="A291" t="s">
        <v>855</v>
      </c>
      <c r="B291" t="s">
        <v>856</v>
      </c>
      <c r="C291" t="s">
        <v>405</v>
      </c>
      <c r="D291">
        <v>24.109000000000002</v>
      </c>
    </row>
    <row r="292" spans="1:4" x14ac:dyDescent="0.3">
      <c r="A292" t="s">
        <v>857</v>
      </c>
      <c r="B292" t="s">
        <v>858</v>
      </c>
      <c r="C292" t="s">
        <v>273</v>
      </c>
      <c r="D292">
        <v>0.48</v>
      </c>
    </row>
    <row r="293" spans="1:4" x14ac:dyDescent="0.3">
      <c r="A293" t="s">
        <v>859</v>
      </c>
      <c r="B293" t="s">
        <v>860</v>
      </c>
      <c r="C293" t="s">
        <v>371</v>
      </c>
      <c r="D293">
        <v>40.384</v>
      </c>
    </row>
    <row r="294" spans="1:4" x14ac:dyDescent="0.3">
      <c r="A294" t="s">
        <v>861</v>
      </c>
      <c r="B294" t="s">
        <v>862</v>
      </c>
      <c r="C294" t="s">
        <v>749</v>
      </c>
      <c r="D294">
        <v>66.370999999999995</v>
      </c>
    </row>
    <row r="295" spans="1:4" x14ac:dyDescent="0.3">
      <c r="A295" t="s">
        <v>863</v>
      </c>
      <c r="B295" t="s">
        <v>864</v>
      </c>
      <c r="C295" t="s">
        <v>198</v>
      </c>
      <c r="D295">
        <v>1.3740000000000001</v>
      </c>
    </row>
    <row r="296" spans="1:4" x14ac:dyDescent="0.3">
      <c r="A296" t="s">
        <v>865</v>
      </c>
      <c r="B296" t="s">
        <v>866</v>
      </c>
      <c r="C296" t="s">
        <v>199</v>
      </c>
      <c r="D296">
        <v>5.3769999999999998</v>
      </c>
    </row>
    <row r="297" spans="1:4" x14ac:dyDescent="0.3">
      <c r="A297" t="s">
        <v>867</v>
      </c>
      <c r="B297" t="s">
        <v>868</v>
      </c>
      <c r="C297" t="s">
        <v>198</v>
      </c>
      <c r="D297">
        <v>111.55200000000001</v>
      </c>
    </row>
    <row r="298" spans="1:4" x14ac:dyDescent="0.3">
      <c r="A298" t="s">
        <v>869</v>
      </c>
      <c r="B298" t="s">
        <v>870</v>
      </c>
      <c r="C298" t="s">
        <v>198</v>
      </c>
      <c r="D298">
        <v>1.923</v>
      </c>
    </row>
    <row r="299" spans="1:4" x14ac:dyDescent="0.3">
      <c r="A299" t="s">
        <v>871</v>
      </c>
      <c r="B299" t="s">
        <v>872</v>
      </c>
      <c r="C299" t="s">
        <v>198</v>
      </c>
      <c r="D299">
        <v>3.7999999999999999E-2</v>
      </c>
    </row>
    <row r="300" spans="1:4" x14ac:dyDescent="0.3">
      <c r="A300" t="s">
        <v>875</v>
      </c>
      <c r="B300" t="s">
        <v>876</v>
      </c>
      <c r="C300" t="s">
        <v>209</v>
      </c>
      <c r="D300">
        <v>28.545000000000002</v>
      </c>
    </row>
    <row r="301" spans="1:4" x14ac:dyDescent="0.3">
      <c r="A301" t="s">
        <v>877</v>
      </c>
      <c r="B301" t="s">
        <v>878</v>
      </c>
      <c r="C301" t="s">
        <v>879</v>
      </c>
      <c r="D301">
        <v>1602.635</v>
      </c>
    </row>
    <row r="302" spans="1:4" x14ac:dyDescent="0.3">
      <c r="A302" t="s">
        <v>880</v>
      </c>
      <c r="B302" t="s">
        <v>881</v>
      </c>
      <c r="C302" t="s">
        <v>198</v>
      </c>
      <c r="D302">
        <v>2.8220000000000001</v>
      </c>
    </row>
    <row r="303" spans="1:4" x14ac:dyDescent="0.3">
      <c r="A303" t="s">
        <v>884</v>
      </c>
      <c r="B303" t="s">
        <v>885</v>
      </c>
      <c r="C303" t="s">
        <v>442</v>
      </c>
      <c r="D303">
        <v>30.271000000000001</v>
      </c>
    </row>
    <row r="304" spans="1:4" x14ac:dyDescent="0.3">
      <c r="A304" t="s">
        <v>886</v>
      </c>
      <c r="B304" t="s">
        <v>887</v>
      </c>
      <c r="C304" t="s">
        <v>494</v>
      </c>
      <c r="D304">
        <v>2.9849999999999999</v>
      </c>
    </row>
    <row r="305" spans="1:4" x14ac:dyDescent="0.3">
      <c r="A305" t="s">
        <v>888</v>
      </c>
      <c r="B305" t="s">
        <v>889</v>
      </c>
      <c r="C305" t="s">
        <v>198</v>
      </c>
      <c r="D305">
        <v>4.53</v>
      </c>
    </row>
    <row r="306" spans="1:4" x14ac:dyDescent="0.3">
      <c r="A306" t="s">
        <v>890</v>
      </c>
      <c r="B306" t="s">
        <v>891</v>
      </c>
      <c r="C306" t="s">
        <v>198</v>
      </c>
      <c r="D306">
        <v>61.237000000000002</v>
      </c>
    </row>
    <row r="307" spans="1:4" x14ac:dyDescent="0.3">
      <c r="A307" t="s">
        <v>892</v>
      </c>
      <c r="B307" t="s">
        <v>893</v>
      </c>
      <c r="C307" t="s">
        <v>198</v>
      </c>
      <c r="D307">
        <v>3.8740000000000001</v>
      </c>
    </row>
    <row r="308" spans="1:4" x14ac:dyDescent="0.3">
      <c r="A308" t="s">
        <v>894</v>
      </c>
      <c r="B308" t="s">
        <v>895</v>
      </c>
      <c r="C308" t="s">
        <v>199</v>
      </c>
      <c r="D308">
        <v>1.895</v>
      </c>
    </row>
    <row r="309" spans="1:4" x14ac:dyDescent="0.3">
      <c r="A309" t="s">
        <v>898</v>
      </c>
      <c r="B309" t="s">
        <v>899</v>
      </c>
      <c r="C309" t="s">
        <v>670</v>
      </c>
      <c r="D309">
        <v>415.779</v>
      </c>
    </row>
    <row r="310" spans="1:4" x14ac:dyDescent="0.3">
      <c r="A310" t="s">
        <v>900</v>
      </c>
      <c r="B310" t="s">
        <v>901</v>
      </c>
      <c r="C310" t="s">
        <v>198</v>
      </c>
      <c r="D310">
        <v>187.119</v>
      </c>
    </row>
    <row r="311" spans="1:4" x14ac:dyDescent="0.3">
      <c r="A311" t="s">
        <v>902</v>
      </c>
      <c r="B311" t="s">
        <v>2622</v>
      </c>
      <c r="C311" t="s">
        <v>198</v>
      </c>
      <c r="D311">
        <v>12.852</v>
      </c>
    </row>
    <row r="312" spans="1:4" x14ac:dyDescent="0.3">
      <c r="A312" t="s">
        <v>904</v>
      </c>
      <c r="B312" t="s">
        <v>905</v>
      </c>
      <c r="C312" t="s">
        <v>200</v>
      </c>
      <c r="D312">
        <v>6.9989999999999997</v>
      </c>
    </row>
    <row r="313" spans="1:4" x14ac:dyDescent="0.3">
      <c r="A313" t="s">
        <v>906</v>
      </c>
      <c r="B313" t="s">
        <v>907</v>
      </c>
      <c r="C313" t="s">
        <v>284</v>
      </c>
      <c r="D313">
        <v>2.9180000000000001</v>
      </c>
    </row>
    <row r="314" spans="1:4" x14ac:dyDescent="0.3">
      <c r="A314" t="s">
        <v>908</v>
      </c>
      <c r="B314" t="s">
        <v>909</v>
      </c>
      <c r="C314" t="s">
        <v>198</v>
      </c>
      <c r="D314">
        <v>18.559000000000001</v>
      </c>
    </row>
    <row r="315" spans="1:4" x14ac:dyDescent="0.3">
      <c r="A315" t="s">
        <v>910</v>
      </c>
      <c r="B315" t="s">
        <v>911</v>
      </c>
      <c r="C315" t="s">
        <v>360</v>
      </c>
      <c r="D315">
        <v>343.92700000000002</v>
      </c>
    </row>
    <row r="316" spans="1:4" x14ac:dyDescent="0.3">
      <c r="A316" t="s">
        <v>912</v>
      </c>
      <c r="B316" t="s">
        <v>913</v>
      </c>
      <c r="C316" t="s">
        <v>273</v>
      </c>
      <c r="D316">
        <v>10.757</v>
      </c>
    </row>
    <row r="317" spans="1:4" x14ac:dyDescent="0.3">
      <c r="A317" t="s">
        <v>914</v>
      </c>
      <c r="B317" t="s">
        <v>915</v>
      </c>
      <c r="C317" t="s">
        <v>553</v>
      </c>
      <c r="D317">
        <v>6.6779999999999999</v>
      </c>
    </row>
    <row r="318" spans="1:4" x14ac:dyDescent="0.3">
      <c r="A318" t="s">
        <v>916</v>
      </c>
      <c r="B318" t="s">
        <v>917</v>
      </c>
      <c r="C318" t="s">
        <v>257</v>
      </c>
      <c r="D318">
        <v>2.9750000000000001</v>
      </c>
    </row>
    <row r="319" spans="1:4" x14ac:dyDescent="0.3">
      <c r="A319" t="s">
        <v>918</v>
      </c>
      <c r="B319" t="s">
        <v>919</v>
      </c>
      <c r="C319" t="s">
        <v>257</v>
      </c>
      <c r="D319">
        <v>8.3819999999999997</v>
      </c>
    </row>
    <row r="320" spans="1:4" x14ac:dyDescent="0.3">
      <c r="A320" t="s">
        <v>920</v>
      </c>
      <c r="B320" t="s">
        <v>921</v>
      </c>
      <c r="C320" t="s">
        <v>922</v>
      </c>
      <c r="D320">
        <v>2.1309999999999998</v>
      </c>
    </row>
    <row r="321" spans="1:4" x14ac:dyDescent="0.3">
      <c r="A321" t="s">
        <v>923</v>
      </c>
      <c r="B321" t="s">
        <v>924</v>
      </c>
      <c r="C321" t="s">
        <v>198</v>
      </c>
      <c r="D321">
        <v>4.1360000000000001</v>
      </c>
    </row>
    <row r="322" spans="1:4" x14ac:dyDescent="0.3">
      <c r="A322" t="s">
        <v>925</v>
      </c>
      <c r="B322" t="s">
        <v>926</v>
      </c>
      <c r="C322" t="s">
        <v>199</v>
      </c>
      <c r="D322">
        <v>2.238</v>
      </c>
    </row>
    <row r="323" spans="1:4" x14ac:dyDescent="0.3">
      <c r="A323" t="s">
        <v>927</v>
      </c>
      <c r="B323" t="s">
        <v>928</v>
      </c>
      <c r="C323" t="s">
        <v>354</v>
      </c>
      <c r="D323">
        <v>0.38900000000000001</v>
      </c>
    </row>
    <row r="324" spans="1:4" x14ac:dyDescent="0.3">
      <c r="A324" t="s">
        <v>929</v>
      </c>
      <c r="B324" t="s">
        <v>930</v>
      </c>
      <c r="C324" t="s">
        <v>931</v>
      </c>
      <c r="D324">
        <v>0.35799999999999998</v>
      </c>
    </row>
    <row r="325" spans="1:4" x14ac:dyDescent="0.3">
      <c r="A325" t="s">
        <v>932</v>
      </c>
      <c r="B325" t="s">
        <v>933</v>
      </c>
      <c r="C325" t="s">
        <v>284</v>
      </c>
      <c r="D325">
        <v>0.51200000000000001</v>
      </c>
    </row>
    <row r="326" spans="1:4" x14ac:dyDescent="0.3">
      <c r="A326" t="s">
        <v>934</v>
      </c>
      <c r="B326" t="s">
        <v>935</v>
      </c>
      <c r="C326" t="s">
        <v>936</v>
      </c>
      <c r="D326">
        <v>0.13</v>
      </c>
    </row>
    <row r="327" spans="1:4" x14ac:dyDescent="0.3">
      <c r="A327" t="s">
        <v>937</v>
      </c>
      <c r="B327" t="s">
        <v>938</v>
      </c>
      <c r="C327" t="s">
        <v>199</v>
      </c>
      <c r="D327">
        <v>1.514</v>
      </c>
    </row>
    <row r="328" spans="1:4" x14ac:dyDescent="0.3">
      <c r="A328" t="s">
        <v>939</v>
      </c>
      <c r="B328" t="s">
        <v>940</v>
      </c>
      <c r="C328" t="s">
        <v>199</v>
      </c>
      <c r="D328">
        <v>23.297999999999998</v>
      </c>
    </row>
    <row r="329" spans="1:4" x14ac:dyDescent="0.3">
      <c r="A329" t="s">
        <v>941</v>
      </c>
      <c r="B329" t="s">
        <v>942</v>
      </c>
      <c r="C329" t="s">
        <v>198</v>
      </c>
      <c r="D329">
        <v>12.853999999999999</v>
      </c>
    </row>
    <row r="330" spans="1:4" x14ac:dyDescent="0.3">
      <c r="A330" t="s">
        <v>943</v>
      </c>
      <c r="B330" t="s">
        <v>944</v>
      </c>
      <c r="C330" t="s">
        <v>945</v>
      </c>
      <c r="D330">
        <v>2.2000000000000002</v>
      </c>
    </row>
    <row r="331" spans="1:4" x14ac:dyDescent="0.3">
      <c r="A331" t="s">
        <v>946</v>
      </c>
      <c r="B331" t="s">
        <v>944</v>
      </c>
      <c r="C331" t="s">
        <v>947</v>
      </c>
      <c r="D331">
        <v>1.103</v>
      </c>
    </row>
    <row r="332" spans="1:4" x14ac:dyDescent="0.3">
      <c r="A332" t="s">
        <v>948</v>
      </c>
      <c r="B332" t="s">
        <v>949</v>
      </c>
      <c r="C332" t="s">
        <v>947</v>
      </c>
      <c r="D332">
        <v>1.0620000000000001</v>
      </c>
    </row>
    <row r="333" spans="1:4" x14ac:dyDescent="0.3">
      <c r="A333" t="s">
        <v>950</v>
      </c>
      <c r="B333" t="s">
        <v>944</v>
      </c>
      <c r="C333" t="s">
        <v>951</v>
      </c>
      <c r="D333">
        <v>0.54600000000000004</v>
      </c>
    </row>
    <row r="334" spans="1:4" x14ac:dyDescent="0.3">
      <c r="A334" t="s">
        <v>952</v>
      </c>
      <c r="B334" t="s">
        <v>953</v>
      </c>
      <c r="C334" t="s">
        <v>947</v>
      </c>
      <c r="D334">
        <v>2.3580000000000001</v>
      </c>
    </row>
    <row r="335" spans="1:4" x14ac:dyDescent="0.3">
      <c r="A335" t="s">
        <v>954</v>
      </c>
      <c r="B335" t="s">
        <v>955</v>
      </c>
      <c r="C335" t="s">
        <v>956</v>
      </c>
      <c r="D335">
        <v>4.4619999999999997</v>
      </c>
    </row>
    <row r="336" spans="1:4" x14ac:dyDescent="0.3">
      <c r="A336" t="s">
        <v>957</v>
      </c>
      <c r="B336" t="s">
        <v>958</v>
      </c>
      <c r="C336" t="s">
        <v>956</v>
      </c>
      <c r="D336">
        <v>2.7080000000000002</v>
      </c>
    </row>
    <row r="337" spans="1:4" x14ac:dyDescent="0.3">
      <c r="A337" t="s">
        <v>968</v>
      </c>
      <c r="B337" t="s">
        <v>969</v>
      </c>
      <c r="C337" t="s">
        <v>963</v>
      </c>
      <c r="D337">
        <v>8.2189999999999994</v>
      </c>
    </row>
    <row r="338" spans="1:4" x14ac:dyDescent="0.3">
      <c r="A338" t="s">
        <v>972</v>
      </c>
      <c r="B338" t="s">
        <v>973</v>
      </c>
      <c r="C338" t="s">
        <v>963</v>
      </c>
      <c r="D338">
        <v>1.2569999999999999</v>
      </c>
    </row>
    <row r="339" spans="1:4" x14ac:dyDescent="0.3">
      <c r="A339" t="s">
        <v>974</v>
      </c>
      <c r="B339" t="s">
        <v>975</v>
      </c>
      <c r="C339" t="s">
        <v>976</v>
      </c>
      <c r="D339">
        <v>1.0269999999999999</v>
      </c>
    </row>
    <row r="340" spans="1:4" x14ac:dyDescent="0.3">
      <c r="A340" t="s">
        <v>977</v>
      </c>
      <c r="B340" t="s">
        <v>978</v>
      </c>
      <c r="C340" t="s">
        <v>963</v>
      </c>
      <c r="D340">
        <v>1.2789999999999999</v>
      </c>
    </row>
    <row r="341" spans="1:4" x14ac:dyDescent="0.3">
      <c r="A341" t="s">
        <v>979</v>
      </c>
      <c r="B341" t="s">
        <v>980</v>
      </c>
      <c r="C341" t="s">
        <v>981</v>
      </c>
      <c r="D341">
        <v>0.97799999999999998</v>
      </c>
    </row>
    <row r="342" spans="1:4" x14ac:dyDescent="0.3">
      <c r="A342" t="s">
        <v>982</v>
      </c>
      <c r="B342" t="s">
        <v>983</v>
      </c>
      <c r="C342" t="s">
        <v>963</v>
      </c>
      <c r="D342">
        <v>1.097</v>
      </c>
    </row>
    <row r="343" spans="1:4" x14ac:dyDescent="0.3">
      <c r="A343" t="s">
        <v>986</v>
      </c>
      <c r="B343" t="s">
        <v>987</v>
      </c>
      <c r="C343" t="s">
        <v>452</v>
      </c>
      <c r="D343">
        <v>1.99</v>
      </c>
    </row>
    <row r="344" spans="1:4" x14ac:dyDescent="0.3">
      <c r="A344" t="s">
        <v>988</v>
      </c>
      <c r="B344" t="s">
        <v>989</v>
      </c>
      <c r="C344" t="s">
        <v>963</v>
      </c>
      <c r="D344">
        <v>1.081</v>
      </c>
    </row>
    <row r="345" spans="1:4" x14ac:dyDescent="0.3">
      <c r="A345" t="s">
        <v>990</v>
      </c>
      <c r="B345" t="s">
        <v>991</v>
      </c>
      <c r="C345" t="s">
        <v>963</v>
      </c>
      <c r="D345">
        <v>1.2769999999999999</v>
      </c>
    </row>
    <row r="346" spans="1:4" x14ac:dyDescent="0.3">
      <c r="A346" t="s">
        <v>992</v>
      </c>
      <c r="B346" t="s">
        <v>993</v>
      </c>
      <c r="C346" t="s">
        <v>963</v>
      </c>
      <c r="D346">
        <v>1.1479999999999999</v>
      </c>
    </row>
    <row r="347" spans="1:4" x14ac:dyDescent="0.3">
      <c r="A347" t="s">
        <v>994</v>
      </c>
      <c r="B347" t="s">
        <v>995</v>
      </c>
      <c r="C347" t="s">
        <v>963</v>
      </c>
      <c r="D347">
        <v>1.405</v>
      </c>
    </row>
    <row r="348" spans="1:4" x14ac:dyDescent="0.3">
      <c r="A348" t="s">
        <v>996</v>
      </c>
      <c r="B348" t="s">
        <v>997</v>
      </c>
      <c r="C348" t="s">
        <v>963</v>
      </c>
      <c r="D348">
        <v>1.51</v>
      </c>
    </row>
    <row r="349" spans="1:4" x14ac:dyDescent="0.3">
      <c r="A349" t="s">
        <v>998</v>
      </c>
      <c r="B349" t="s">
        <v>999</v>
      </c>
      <c r="C349" t="s">
        <v>963</v>
      </c>
      <c r="D349">
        <v>3.7309999999999999</v>
      </c>
    </row>
    <row r="350" spans="1:4" x14ac:dyDescent="0.3">
      <c r="A350" t="s">
        <v>1000</v>
      </c>
      <c r="B350" t="s">
        <v>1001</v>
      </c>
      <c r="C350" t="s">
        <v>963</v>
      </c>
      <c r="D350">
        <v>2.004</v>
      </c>
    </row>
    <row r="351" spans="1:4" x14ac:dyDescent="0.3">
      <c r="A351" t="s">
        <v>1002</v>
      </c>
      <c r="B351" t="s">
        <v>1003</v>
      </c>
      <c r="C351" t="s">
        <v>963</v>
      </c>
      <c r="D351">
        <v>1.38</v>
      </c>
    </row>
    <row r="352" spans="1:4" x14ac:dyDescent="0.3">
      <c r="A352" t="s">
        <v>1004</v>
      </c>
      <c r="B352" t="s">
        <v>1005</v>
      </c>
      <c r="C352" t="s">
        <v>963</v>
      </c>
      <c r="D352">
        <v>2.996</v>
      </c>
    </row>
    <row r="353" spans="1:4" x14ac:dyDescent="0.3">
      <c r="A353" t="s">
        <v>1008</v>
      </c>
      <c r="B353" t="s">
        <v>1009</v>
      </c>
      <c r="C353" t="s">
        <v>963</v>
      </c>
      <c r="D353">
        <v>2.0190000000000001</v>
      </c>
    </row>
    <row r="354" spans="1:4" x14ac:dyDescent="0.3">
      <c r="A354" t="s">
        <v>1020</v>
      </c>
      <c r="B354" t="s">
        <v>1021</v>
      </c>
      <c r="C354" t="s">
        <v>1022</v>
      </c>
      <c r="D354">
        <v>404.59100000000001</v>
      </c>
    </row>
    <row r="355" spans="1:4" x14ac:dyDescent="0.3">
      <c r="A355" t="s">
        <v>1023</v>
      </c>
      <c r="B355" t="s">
        <v>1024</v>
      </c>
      <c r="C355" t="s">
        <v>1025</v>
      </c>
      <c r="D355">
        <v>20100.169000000002</v>
      </c>
    </row>
    <row r="356" spans="1:4" x14ac:dyDescent="0.3">
      <c r="A356" t="s">
        <v>1026</v>
      </c>
      <c r="B356" t="s">
        <v>1027</v>
      </c>
      <c r="C356" t="s">
        <v>273</v>
      </c>
      <c r="D356">
        <v>200.55500000000001</v>
      </c>
    </row>
    <row r="357" spans="1:4" x14ac:dyDescent="0.3">
      <c r="A357" t="s">
        <v>1028</v>
      </c>
      <c r="B357" t="s">
        <v>1029</v>
      </c>
      <c r="C357" t="s">
        <v>318</v>
      </c>
      <c r="D357">
        <v>490.47699999999998</v>
      </c>
    </row>
    <row r="358" spans="1:4" x14ac:dyDescent="0.3">
      <c r="A358" t="s">
        <v>1030</v>
      </c>
      <c r="B358" t="s">
        <v>1031</v>
      </c>
      <c r="C358" t="s">
        <v>1032</v>
      </c>
      <c r="D358">
        <v>1046.8009999999999</v>
      </c>
    </row>
    <row r="359" spans="1:4" x14ac:dyDescent="0.3">
      <c r="A359" t="s">
        <v>2112</v>
      </c>
      <c r="B359" t="s">
        <v>2113</v>
      </c>
      <c r="C359" t="s">
        <v>198</v>
      </c>
      <c r="D359">
        <v>6.423</v>
      </c>
    </row>
    <row r="360" spans="1:4" x14ac:dyDescent="0.3">
      <c r="A360" t="s">
        <v>1033</v>
      </c>
      <c r="B360" t="s">
        <v>1034</v>
      </c>
      <c r="C360" t="s">
        <v>1035</v>
      </c>
      <c r="D360">
        <v>85.207999999999998</v>
      </c>
    </row>
    <row r="361" spans="1:4" x14ac:dyDescent="0.3">
      <c r="A361" t="s">
        <v>1036</v>
      </c>
      <c r="B361" t="s">
        <v>1037</v>
      </c>
      <c r="C361" t="s">
        <v>1035</v>
      </c>
      <c r="D361">
        <v>155.22999999999999</v>
      </c>
    </row>
    <row r="362" spans="1:4" x14ac:dyDescent="0.3">
      <c r="A362" t="s">
        <v>1587</v>
      </c>
      <c r="B362" t="s">
        <v>1588</v>
      </c>
      <c r="C362" t="s">
        <v>1035</v>
      </c>
      <c r="D362">
        <v>140.107</v>
      </c>
    </row>
    <row r="363" spans="1:4" x14ac:dyDescent="0.3">
      <c r="A363" t="s">
        <v>1038</v>
      </c>
      <c r="B363" t="s">
        <v>1039</v>
      </c>
      <c r="C363" t="s">
        <v>198</v>
      </c>
      <c r="D363">
        <v>12.263</v>
      </c>
    </row>
    <row r="364" spans="1:4" x14ac:dyDescent="0.3">
      <c r="A364" t="s">
        <v>2116</v>
      </c>
      <c r="B364" t="s">
        <v>2117</v>
      </c>
      <c r="C364" t="s">
        <v>1035</v>
      </c>
      <c r="D364">
        <v>521.57299999999998</v>
      </c>
    </row>
    <row r="365" spans="1:4" x14ac:dyDescent="0.3">
      <c r="A365" t="s">
        <v>1590</v>
      </c>
      <c r="B365" t="s">
        <v>1591</v>
      </c>
      <c r="C365" t="s">
        <v>1813</v>
      </c>
      <c r="D365">
        <v>846.76300000000003</v>
      </c>
    </row>
    <row r="366" spans="1:4" x14ac:dyDescent="0.3">
      <c r="A366" t="s">
        <v>1040</v>
      </c>
      <c r="B366" t="s">
        <v>1041</v>
      </c>
      <c r="C366" t="s">
        <v>1042</v>
      </c>
      <c r="D366">
        <v>3.1560000000000001</v>
      </c>
    </row>
    <row r="367" spans="1:4" x14ac:dyDescent="0.3">
      <c r="A367" t="s">
        <v>1048</v>
      </c>
      <c r="B367" t="s">
        <v>1049</v>
      </c>
      <c r="C367" t="s">
        <v>209</v>
      </c>
      <c r="D367">
        <v>0.32900000000000001</v>
      </c>
    </row>
    <row r="368" spans="1:4" x14ac:dyDescent="0.3">
      <c r="A368" t="s">
        <v>1050</v>
      </c>
      <c r="B368" t="s">
        <v>1051</v>
      </c>
      <c r="C368" t="s">
        <v>257</v>
      </c>
      <c r="D368">
        <v>2.6659999999999999</v>
      </c>
    </row>
    <row r="369" spans="1:4" x14ac:dyDescent="0.3">
      <c r="A369" t="s">
        <v>1052</v>
      </c>
      <c r="B369" t="s">
        <v>1053</v>
      </c>
      <c r="C369" t="s">
        <v>458</v>
      </c>
      <c r="D369">
        <v>1.2330000000000001</v>
      </c>
    </row>
    <row r="370" spans="1:4" x14ac:dyDescent="0.3">
      <c r="A370" t="s">
        <v>1054</v>
      </c>
      <c r="B370" t="s">
        <v>1055</v>
      </c>
      <c r="C370" t="s">
        <v>295</v>
      </c>
      <c r="D370">
        <v>1942.78</v>
      </c>
    </row>
    <row r="371" spans="1:4" x14ac:dyDescent="0.3">
      <c r="A371" t="s">
        <v>1056</v>
      </c>
      <c r="B371" t="s">
        <v>1057</v>
      </c>
      <c r="C371" t="s">
        <v>198</v>
      </c>
      <c r="D371">
        <v>0.58699999999999997</v>
      </c>
    </row>
    <row r="372" spans="1:4" x14ac:dyDescent="0.3">
      <c r="A372" t="s">
        <v>1058</v>
      </c>
      <c r="B372" t="s">
        <v>1059</v>
      </c>
      <c r="C372" t="s">
        <v>273</v>
      </c>
      <c r="D372">
        <v>0.433</v>
      </c>
    </row>
    <row r="373" spans="1:4" x14ac:dyDescent="0.3">
      <c r="A373" t="s">
        <v>1060</v>
      </c>
      <c r="B373" t="s">
        <v>1061</v>
      </c>
      <c r="C373" t="s">
        <v>513</v>
      </c>
      <c r="D373">
        <v>0.378</v>
      </c>
    </row>
    <row r="374" spans="1:4" x14ac:dyDescent="0.3">
      <c r="A374" t="s">
        <v>1062</v>
      </c>
      <c r="B374" t="s">
        <v>1063</v>
      </c>
      <c r="C374" t="s">
        <v>200</v>
      </c>
      <c r="D374">
        <v>7.9000000000000001E-2</v>
      </c>
    </row>
    <row r="375" spans="1:4" x14ac:dyDescent="0.3">
      <c r="A375" t="s">
        <v>1064</v>
      </c>
      <c r="B375" t="s">
        <v>1065</v>
      </c>
      <c r="C375" t="s">
        <v>553</v>
      </c>
      <c r="D375">
        <v>712.202</v>
      </c>
    </row>
    <row r="376" spans="1:4" x14ac:dyDescent="0.3">
      <c r="A376" t="s">
        <v>1066</v>
      </c>
      <c r="B376" t="s">
        <v>1067</v>
      </c>
      <c r="C376" t="s">
        <v>198</v>
      </c>
      <c r="D376">
        <v>1.4E-2</v>
      </c>
    </row>
    <row r="377" spans="1:4" x14ac:dyDescent="0.3">
      <c r="A377" t="s">
        <v>1068</v>
      </c>
      <c r="B377" t="s">
        <v>1069</v>
      </c>
      <c r="C377" t="s">
        <v>553</v>
      </c>
      <c r="D377">
        <v>0.751</v>
      </c>
    </row>
    <row r="378" spans="1:4" x14ac:dyDescent="0.3">
      <c r="A378" t="s">
        <v>1070</v>
      </c>
      <c r="B378" t="s">
        <v>1071</v>
      </c>
      <c r="C378" t="s">
        <v>295</v>
      </c>
      <c r="D378">
        <v>42.298000000000002</v>
      </c>
    </row>
    <row r="379" spans="1:4" x14ac:dyDescent="0.3">
      <c r="A379" t="s">
        <v>1072</v>
      </c>
      <c r="B379" t="s">
        <v>1073</v>
      </c>
      <c r="C379" t="s">
        <v>295</v>
      </c>
      <c r="D379">
        <v>0.88700000000000001</v>
      </c>
    </row>
    <row r="380" spans="1:4" x14ac:dyDescent="0.3">
      <c r="A380" t="s">
        <v>1074</v>
      </c>
      <c r="B380" t="s">
        <v>1075</v>
      </c>
      <c r="C380" t="s">
        <v>1076</v>
      </c>
      <c r="D380">
        <v>2.6749999999999998</v>
      </c>
    </row>
    <row r="381" spans="1:4" x14ac:dyDescent="0.3">
      <c r="A381" t="s">
        <v>1077</v>
      </c>
      <c r="B381" t="s">
        <v>1078</v>
      </c>
      <c r="C381" t="s">
        <v>198</v>
      </c>
      <c r="D381">
        <v>7.4619999999999997</v>
      </c>
    </row>
    <row r="382" spans="1:4" x14ac:dyDescent="0.3">
      <c r="A382" t="s">
        <v>1079</v>
      </c>
      <c r="B382" t="s">
        <v>1080</v>
      </c>
      <c r="C382" t="s">
        <v>200</v>
      </c>
      <c r="D382">
        <v>187.83099999999999</v>
      </c>
    </row>
    <row r="383" spans="1:4" x14ac:dyDescent="0.3">
      <c r="A383" t="s">
        <v>1081</v>
      </c>
      <c r="B383" t="s">
        <v>1082</v>
      </c>
      <c r="C383" t="s">
        <v>458</v>
      </c>
      <c r="D383">
        <v>8.3490000000000002</v>
      </c>
    </row>
    <row r="384" spans="1:4" x14ac:dyDescent="0.3">
      <c r="A384" t="s">
        <v>1083</v>
      </c>
      <c r="B384" t="s">
        <v>1084</v>
      </c>
      <c r="C384" t="s">
        <v>1085</v>
      </c>
      <c r="D384">
        <v>9.4600000000000009</v>
      </c>
    </row>
    <row r="385" spans="1:4" x14ac:dyDescent="0.3">
      <c r="A385" t="s">
        <v>1086</v>
      </c>
      <c r="B385" t="s">
        <v>1087</v>
      </c>
      <c r="C385" t="s">
        <v>239</v>
      </c>
      <c r="D385">
        <v>10.316000000000001</v>
      </c>
    </row>
    <row r="386" spans="1:4" x14ac:dyDescent="0.3">
      <c r="A386" t="s">
        <v>1088</v>
      </c>
      <c r="B386" t="s">
        <v>1089</v>
      </c>
      <c r="C386" t="s">
        <v>405</v>
      </c>
      <c r="D386">
        <v>5.4740000000000002</v>
      </c>
    </row>
    <row r="387" spans="1:4" x14ac:dyDescent="0.3">
      <c r="A387" t="s">
        <v>1090</v>
      </c>
      <c r="B387" t="s">
        <v>1091</v>
      </c>
      <c r="C387" t="s">
        <v>198</v>
      </c>
      <c r="D387">
        <v>0.14299999999999999</v>
      </c>
    </row>
    <row r="388" spans="1:4" x14ac:dyDescent="0.3">
      <c r="A388" t="s">
        <v>1092</v>
      </c>
      <c r="B388" t="s">
        <v>1093</v>
      </c>
      <c r="C388" t="s">
        <v>396</v>
      </c>
      <c r="D388">
        <v>0.17699999999999999</v>
      </c>
    </row>
    <row r="389" spans="1:4" x14ac:dyDescent="0.3">
      <c r="A389" t="s">
        <v>1094</v>
      </c>
      <c r="B389" t="s">
        <v>1095</v>
      </c>
      <c r="C389" t="s">
        <v>198</v>
      </c>
      <c r="D389">
        <v>4.7E-2</v>
      </c>
    </row>
    <row r="390" spans="1:4" x14ac:dyDescent="0.3">
      <c r="A390" t="s">
        <v>1096</v>
      </c>
      <c r="B390" t="s">
        <v>1097</v>
      </c>
      <c r="C390" t="s">
        <v>396</v>
      </c>
      <c r="D390">
        <v>5.7000000000000002E-2</v>
      </c>
    </row>
    <row r="391" spans="1:4" x14ac:dyDescent="0.3">
      <c r="A391" t="s">
        <v>1098</v>
      </c>
      <c r="B391" t="s">
        <v>1099</v>
      </c>
      <c r="C391" t="s">
        <v>1100</v>
      </c>
      <c r="D391">
        <v>0.11600000000000001</v>
      </c>
    </row>
    <row r="392" spans="1:4" x14ac:dyDescent="0.3">
      <c r="A392" t="s">
        <v>1101</v>
      </c>
      <c r="B392" t="s">
        <v>1102</v>
      </c>
      <c r="C392" t="s">
        <v>396</v>
      </c>
      <c r="D392">
        <v>3.1659999999999999</v>
      </c>
    </row>
    <row r="393" spans="1:4" x14ac:dyDescent="0.3">
      <c r="A393" t="s">
        <v>1103</v>
      </c>
      <c r="B393" t="s">
        <v>1104</v>
      </c>
      <c r="C393" t="s">
        <v>199</v>
      </c>
      <c r="D393">
        <v>0.73599999999999999</v>
      </c>
    </row>
    <row r="394" spans="1:4" x14ac:dyDescent="0.3">
      <c r="A394" t="s">
        <v>1105</v>
      </c>
      <c r="B394" t="s">
        <v>1106</v>
      </c>
      <c r="C394" t="s">
        <v>198</v>
      </c>
      <c r="D394">
        <v>45.463000000000001</v>
      </c>
    </row>
    <row r="395" spans="1:4" x14ac:dyDescent="0.3">
      <c r="A395" t="s">
        <v>1107</v>
      </c>
      <c r="B395" t="s">
        <v>1108</v>
      </c>
      <c r="C395" t="s">
        <v>198</v>
      </c>
      <c r="D395">
        <v>0.218</v>
      </c>
    </row>
    <row r="396" spans="1:4" x14ac:dyDescent="0.3">
      <c r="A396" t="s">
        <v>1109</v>
      </c>
      <c r="B396" t="s">
        <v>1110</v>
      </c>
      <c r="C396" t="s">
        <v>198</v>
      </c>
      <c r="D396">
        <v>0.52800000000000002</v>
      </c>
    </row>
    <row r="397" spans="1:4" x14ac:dyDescent="0.3">
      <c r="A397" t="s">
        <v>1111</v>
      </c>
      <c r="B397" t="s">
        <v>1112</v>
      </c>
      <c r="C397" t="s">
        <v>683</v>
      </c>
      <c r="D397">
        <v>39.573999999999998</v>
      </c>
    </row>
    <row r="398" spans="1:4" x14ac:dyDescent="0.3">
      <c r="A398" t="s">
        <v>1113</v>
      </c>
      <c r="B398" t="s">
        <v>1114</v>
      </c>
      <c r="C398" t="s">
        <v>1115</v>
      </c>
      <c r="D398">
        <v>557.07899999999995</v>
      </c>
    </row>
    <row r="399" spans="1:4" x14ac:dyDescent="0.3">
      <c r="A399" t="s">
        <v>1116</v>
      </c>
      <c r="B399" t="s">
        <v>1117</v>
      </c>
      <c r="C399" t="s">
        <v>200</v>
      </c>
      <c r="D399">
        <v>6.6779999999999999</v>
      </c>
    </row>
    <row r="400" spans="1:4" x14ac:dyDescent="0.3">
      <c r="A400" t="s">
        <v>1118</v>
      </c>
      <c r="B400" t="s">
        <v>1119</v>
      </c>
      <c r="C400" t="s">
        <v>688</v>
      </c>
      <c r="D400">
        <v>24.122</v>
      </c>
    </row>
    <row r="401" spans="1:4" x14ac:dyDescent="0.3">
      <c r="A401" t="s">
        <v>1120</v>
      </c>
      <c r="B401" t="s">
        <v>1121</v>
      </c>
      <c r="C401" t="s">
        <v>445</v>
      </c>
      <c r="D401">
        <v>1.6719999999999999</v>
      </c>
    </row>
    <row r="402" spans="1:4" x14ac:dyDescent="0.3">
      <c r="A402" t="s">
        <v>1122</v>
      </c>
      <c r="B402" t="s">
        <v>1123</v>
      </c>
      <c r="C402" t="s">
        <v>284</v>
      </c>
      <c r="D402">
        <v>5.7430000000000003</v>
      </c>
    </row>
    <row r="403" spans="1:4" x14ac:dyDescent="0.3">
      <c r="A403" t="s">
        <v>1124</v>
      </c>
      <c r="B403" t="s">
        <v>1125</v>
      </c>
      <c r="C403" t="s">
        <v>553</v>
      </c>
      <c r="D403">
        <v>3.4279999999999999</v>
      </c>
    </row>
    <row r="404" spans="1:4" x14ac:dyDescent="0.3">
      <c r="A404" t="s">
        <v>1126</v>
      </c>
      <c r="B404" t="s">
        <v>1127</v>
      </c>
      <c r="C404" t="s">
        <v>458</v>
      </c>
      <c r="D404">
        <v>8.1000000000000003E-2</v>
      </c>
    </row>
    <row r="405" spans="1:4" x14ac:dyDescent="0.3">
      <c r="A405" t="s">
        <v>1128</v>
      </c>
      <c r="B405" t="s">
        <v>1129</v>
      </c>
      <c r="C405" t="s">
        <v>209</v>
      </c>
      <c r="D405">
        <v>73.777000000000001</v>
      </c>
    </row>
    <row r="406" spans="1:4" x14ac:dyDescent="0.3">
      <c r="A406" t="s">
        <v>1130</v>
      </c>
      <c r="B406" t="s">
        <v>1131</v>
      </c>
      <c r="C406" t="s">
        <v>688</v>
      </c>
      <c r="D406">
        <v>11.724</v>
      </c>
    </row>
    <row r="407" spans="1:4" x14ac:dyDescent="0.3">
      <c r="A407" t="s">
        <v>1132</v>
      </c>
      <c r="B407" t="s">
        <v>1133</v>
      </c>
      <c r="C407" t="s">
        <v>1134</v>
      </c>
      <c r="D407">
        <v>0.33600000000000002</v>
      </c>
    </row>
    <row r="408" spans="1:4" x14ac:dyDescent="0.3">
      <c r="A408" t="s">
        <v>1135</v>
      </c>
      <c r="B408" t="s">
        <v>2413</v>
      </c>
      <c r="C408" t="s">
        <v>396</v>
      </c>
      <c r="D408">
        <v>398.82900000000001</v>
      </c>
    </row>
    <row r="409" spans="1:4" x14ac:dyDescent="0.3">
      <c r="A409" t="s">
        <v>1139</v>
      </c>
      <c r="B409" t="s">
        <v>1140</v>
      </c>
      <c r="C409" t="s">
        <v>200</v>
      </c>
      <c r="D409">
        <v>1.0249999999999999</v>
      </c>
    </row>
    <row r="410" spans="1:4" x14ac:dyDescent="0.3">
      <c r="A410" t="s">
        <v>1141</v>
      </c>
      <c r="B410" t="s">
        <v>1142</v>
      </c>
      <c r="C410" t="s">
        <v>1143</v>
      </c>
      <c r="D410">
        <v>103.67700000000001</v>
      </c>
    </row>
    <row r="411" spans="1:4" x14ac:dyDescent="0.3">
      <c r="A411" t="s">
        <v>1144</v>
      </c>
      <c r="B411" t="s">
        <v>1145</v>
      </c>
      <c r="C411" t="s">
        <v>199</v>
      </c>
      <c r="D411">
        <v>3.1349999999999998</v>
      </c>
    </row>
    <row r="412" spans="1:4" x14ac:dyDescent="0.3">
      <c r="A412" t="s">
        <v>1146</v>
      </c>
      <c r="B412" t="s">
        <v>1147</v>
      </c>
      <c r="C412" t="s">
        <v>198</v>
      </c>
      <c r="D412">
        <v>71.054000000000002</v>
      </c>
    </row>
    <row r="413" spans="1:4" x14ac:dyDescent="0.3">
      <c r="A413" t="s">
        <v>1148</v>
      </c>
      <c r="B413" t="s">
        <v>1149</v>
      </c>
      <c r="C413" t="s">
        <v>1150</v>
      </c>
      <c r="D413">
        <v>402.74299999999999</v>
      </c>
    </row>
    <row r="414" spans="1:4" x14ac:dyDescent="0.3">
      <c r="A414" t="s">
        <v>1151</v>
      </c>
      <c r="B414" t="s">
        <v>1152</v>
      </c>
      <c r="C414" t="s">
        <v>199</v>
      </c>
      <c r="D414">
        <v>75.792000000000002</v>
      </c>
    </row>
    <row r="415" spans="1:4" x14ac:dyDescent="0.3">
      <c r="A415" t="s">
        <v>1153</v>
      </c>
      <c r="B415" t="s">
        <v>1154</v>
      </c>
      <c r="C415" t="s">
        <v>199</v>
      </c>
      <c r="D415">
        <v>79.373000000000005</v>
      </c>
    </row>
    <row r="416" spans="1:4" x14ac:dyDescent="0.3">
      <c r="A416" t="s">
        <v>1155</v>
      </c>
      <c r="B416" t="s">
        <v>1156</v>
      </c>
      <c r="C416" t="s">
        <v>198</v>
      </c>
      <c r="D416">
        <v>1.5780000000000001</v>
      </c>
    </row>
    <row r="417" spans="1:4" x14ac:dyDescent="0.3">
      <c r="A417" t="s">
        <v>1157</v>
      </c>
      <c r="B417" t="s">
        <v>1158</v>
      </c>
      <c r="C417" t="s">
        <v>198</v>
      </c>
      <c r="D417">
        <v>145.45099999999999</v>
      </c>
    </row>
    <row r="418" spans="1:4" x14ac:dyDescent="0.3">
      <c r="A418" t="s">
        <v>1814</v>
      </c>
      <c r="B418" t="s">
        <v>1815</v>
      </c>
      <c r="C418" t="s">
        <v>1274</v>
      </c>
      <c r="D418">
        <v>132.786</v>
      </c>
    </row>
    <row r="419" spans="1:4" x14ac:dyDescent="0.3">
      <c r="A419" t="s">
        <v>1161</v>
      </c>
      <c r="B419" t="s">
        <v>1162</v>
      </c>
      <c r="C419" t="s">
        <v>199</v>
      </c>
      <c r="D419">
        <v>36.106999999999999</v>
      </c>
    </row>
    <row r="420" spans="1:4" x14ac:dyDescent="0.3">
      <c r="A420" t="s">
        <v>1163</v>
      </c>
      <c r="B420" t="s">
        <v>1164</v>
      </c>
      <c r="C420" t="s">
        <v>198</v>
      </c>
      <c r="D420">
        <v>30.132000000000001</v>
      </c>
    </row>
    <row r="421" spans="1:4" x14ac:dyDescent="0.3">
      <c r="A421" t="s">
        <v>1165</v>
      </c>
      <c r="B421" t="s">
        <v>1166</v>
      </c>
      <c r="C421" t="s">
        <v>198</v>
      </c>
      <c r="D421">
        <v>23.66</v>
      </c>
    </row>
    <row r="422" spans="1:4" x14ac:dyDescent="0.3">
      <c r="A422" t="s">
        <v>1167</v>
      </c>
      <c r="B422" t="s">
        <v>1168</v>
      </c>
      <c r="C422" t="s">
        <v>199</v>
      </c>
      <c r="D422">
        <v>76.66</v>
      </c>
    </row>
    <row r="423" spans="1:4" x14ac:dyDescent="0.3">
      <c r="A423" t="s">
        <v>1171</v>
      </c>
      <c r="B423" t="s">
        <v>1172</v>
      </c>
      <c r="C423" t="s">
        <v>452</v>
      </c>
      <c r="D423">
        <v>107.741</v>
      </c>
    </row>
    <row r="424" spans="1:4" x14ac:dyDescent="0.3">
      <c r="A424" t="s">
        <v>1173</v>
      </c>
      <c r="B424" t="s">
        <v>1174</v>
      </c>
      <c r="C424" t="s">
        <v>1175</v>
      </c>
      <c r="D424">
        <v>26.988</v>
      </c>
    </row>
    <row r="425" spans="1:4" x14ac:dyDescent="0.3">
      <c r="A425" t="s">
        <v>1176</v>
      </c>
      <c r="B425" t="s">
        <v>2414</v>
      </c>
      <c r="C425" t="s">
        <v>273</v>
      </c>
      <c r="D425">
        <v>46.95</v>
      </c>
    </row>
    <row r="426" spans="1:4" x14ac:dyDescent="0.3">
      <c r="A426" t="s">
        <v>1178</v>
      </c>
      <c r="B426" t="s">
        <v>1179</v>
      </c>
      <c r="C426" t="s">
        <v>198</v>
      </c>
      <c r="D426">
        <v>144.95599999999999</v>
      </c>
    </row>
    <row r="427" spans="1:4" x14ac:dyDescent="0.3">
      <c r="A427" t="s">
        <v>1180</v>
      </c>
      <c r="B427" t="s">
        <v>1181</v>
      </c>
      <c r="C427" t="s">
        <v>198</v>
      </c>
      <c r="D427">
        <v>159.143</v>
      </c>
    </row>
    <row r="428" spans="1:4" x14ac:dyDescent="0.3">
      <c r="A428" t="s">
        <v>1184</v>
      </c>
      <c r="B428" t="s">
        <v>1185</v>
      </c>
      <c r="C428" t="s">
        <v>209</v>
      </c>
      <c r="D428">
        <v>3.2</v>
      </c>
    </row>
    <row r="429" spans="1:4" x14ac:dyDescent="0.3">
      <c r="A429" t="s">
        <v>1186</v>
      </c>
      <c r="B429" t="s">
        <v>1187</v>
      </c>
      <c r="C429" t="s">
        <v>198</v>
      </c>
      <c r="D429">
        <v>33.183</v>
      </c>
    </row>
    <row r="430" spans="1:4" x14ac:dyDescent="0.3">
      <c r="A430" t="s">
        <v>1188</v>
      </c>
      <c r="B430" t="s">
        <v>1189</v>
      </c>
      <c r="C430" t="s">
        <v>257</v>
      </c>
      <c r="D430">
        <v>3852.7829999999999</v>
      </c>
    </row>
    <row r="431" spans="1:4" x14ac:dyDescent="0.3">
      <c r="A431" t="s">
        <v>1190</v>
      </c>
      <c r="B431" t="s">
        <v>1191</v>
      </c>
      <c r="C431" t="s">
        <v>199</v>
      </c>
      <c r="D431">
        <v>59.222999999999999</v>
      </c>
    </row>
    <row r="432" spans="1:4" x14ac:dyDescent="0.3">
      <c r="A432" t="s">
        <v>1192</v>
      </c>
      <c r="B432" t="s">
        <v>1193</v>
      </c>
      <c r="C432" t="s">
        <v>199</v>
      </c>
      <c r="D432">
        <v>1.911</v>
      </c>
    </row>
    <row r="433" spans="1:4" x14ac:dyDescent="0.3">
      <c r="A433" t="s">
        <v>1194</v>
      </c>
      <c r="B433" t="s">
        <v>1195</v>
      </c>
      <c r="C433" t="s">
        <v>198</v>
      </c>
      <c r="D433">
        <v>21.18</v>
      </c>
    </row>
    <row r="434" spans="1:4" x14ac:dyDescent="0.3">
      <c r="A434" t="s">
        <v>1196</v>
      </c>
      <c r="B434" t="s">
        <v>1197</v>
      </c>
      <c r="C434" t="s">
        <v>257</v>
      </c>
      <c r="D434">
        <v>42.274000000000001</v>
      </c>
    </row>
    <row r="435" spans="1:4" x14ac:dyDescent="0.3">
      <c r="A435" t="s">
        <v>1816</v>
      </c>
      <c r="B435" t="s">
        <v>1817</v>
      </c>
      <c r="C435" t="s">
        <v>199</v>
      </c>
      <c r="D435">
        <v>628.904</v>
      </c>
    </row>
    <row r="436" spans="1:4" x14ac:dyDescent="0.3">
      <c r="A436" t="s">
        <v>1198</v>
      </c>
      <c r="B436" t="s">
        <v>1199</v>
      </c>
      <c r="C436" t="s">
        <v>257</v>
      </c>
      <c r="D436">
        <v>0.78500000000000003</v>
      </c>
    </row>
    <row r="437" spans="1:4" x14ac:dyDescent="0.3">
      <c r="A437" t="s">
        <v>1200</v>
      </c>
      <c r="B437" t="s">
        <v>1201</v>
      </c>
      <c r="C437" t="s">
        <v>396</v>
      </c>
      <c r="D437">
        <v>1404.0119999999999</v>
      </c>
    </row>
    <row r="438" spans="1:4" x14ac:dyDescent="0.3">
      <c r="A438" t="s">
        <v>1202</v>
      </c>
      <c r="B438" t="s">
        <v>1203</v>
      </c>
      <c r="C438" t="s">
        <v>257</v>
      </c>
      <c r="D438">
        <v>3.8119999999999998</v>
      </c>
    </row>
    <row r="439" spans="1:4" x14ac:dyDescent="0.3">
      <c r="A439" t="s">
        <v>1204</v>
      </c>
      <c r="B439" t="s">
        <v>1205</v>
      </c>
      <c r="C439" t="s">
        <v>199</v>
      </c>
      <c r="D439">
        <v>49.500999999999998</v>
      </c>
    </row>
    <row r="440" spans="1:4" x14ac:dyDescent="0.3">
      <c r="A440" t="s">
        <v>1206</v>
      </c>
      <c r="B440" t="s">
        <v>1207</v>
      </c>
      <c r="C440" t="s">
        <v>199</v>
      </c>
      <c r="D440">
        <v>43.567999999999998</v>
      </c>
    </row>
    <row r="441" spans="1:4" x14ac:dyDescent="0.3">
      <c r="A441" t="s">
        <v>1211</v>
      </c>
      <c r="B441" t="s">
        <v>1212</v>
      </c>
      <c r="C441" t="s">
        <v>198</v>
      </c>
      <c r="D441">
        <v>3.6349999999999998</v>
      </c>
    </row>
    <row r="442" spans="1:4" x14ac:dyDescent="0.3">
      <c r="A442" t="s">
        <v>192</v>
      </c>
      <c r="B442" t="s">
        <v>1213</v>
      </c>
      <c r="C442" t="s">
        <v>198</v>
      </c>
      <c r="D442">
        <v>1.74</v>
      </c>
    </row>
    <row r="443" spans="1:4" x14ac:dyDescent="0.3">
      <c r="A443" t="s">
        <v>1216</v>
      </c>
      <c r="B443" t="s">
        <v>1217</v>
      </c>
      <c r="C443" t="s">
        <v>198</v>
      </c>
      <c r="D443">
        <v>6.3460000000000001</v>
      </c>
    </row>
    <row r="444" spans="1:4" x14ac:dyDescent="0.3">
      <c r="A444" t="s">
        <v>195</v>
      </c>
      <c r="B444" t="s">
        <v>1218</v>
      </c>
      <c r="C444" t="s">
        <v>688</v>
      </c>
      <c r="D444">
        <v>1.3740000000000001</v>
      </c>
    </row>
    <row r="445" spans="1:4" x14ac:dyDescent="0.3">
      <c r="A445" t="s">
        <v>1219</v>
      </c>
      <c r="B445" t="s">
        <v>1220</v>
      </c>
      <c r="C445" t="s">
        <v>273</v>
      </c>
      <c r="D445">
        <v>110.571</v>
      </c>
    </row>
    <row r="446" spans="1:4" x14ac:dyDescent="0.3">
      <c r="A446" t="s">
        <v>1221</v>
      </c>
      <c r="B446" t="s">
        <v>1222</v>
      </c>
      <c r="C446" t="s">
        <v>199</v>
      </c>
      <c r="D446">
        <v>0.60899999999999999</v>
      </c>
    </row>
    <row r="447" spans="1:4" x14ac:dyDescent="0.3">
      <c r="A447" t="s">
        <v>1223</v>
      </c>
      <c r="B447" t="s">
        <v>1224</v>
      </c>
      <c r="C447" t="s">
        <v>209</v>
      </c>
      <c r="D447">
        <v>84.691000000000003</v>
      </c>
    </row>
    <row r="448" spans="1:4" x14ac:dyDescent="0.3">
      <c r="A448" t="s">
        <v>1225</v>
      </c>
      <c r="B448" t="s">
        <v>1226</v>
      </c>
      <c r="C448" t="s">
        <v>284</v>
      </c>
      <c r="D448">
        <v>1.518</v>
      </c>
    </row>
    <row r="449" spans="1:4" x14ac:dyDescent="0.3">
      <c r="A449" t="s">
        <v>1227</v>
      </c>
      <c r="B449" t="s">
        <v>1228</v>
      </c>
      <c r="C449" t="s">
        <v>284</v>
      </c>
      <c r="D449">
        <v>62.844999999999999</v>
      </c>
    </row>
    <row r="450" spans="1:4" x14ac:dyDescent="0.3">
      <c r="A450" t="s">
        <v>1229</v>
      </c>
      <c r="B450" t="s">
        <v>1230</v>
      </c>
      <c r="C450" t="s">
        <v>442</v>
      </c>
      <c r="D450">
        <v>5.9029999999999996</v>
      </c>
    </row>
    <row r="451" spans="1:4" x14ac:dyDescent="0.3">
      <c r="A451" t="s">
        <v>1231</v>
      </c>
      <c r="B451" t="s">
        <v>1232</v>
      </c>
      <c r="C451" t="s">
        <v>1233</v>
      </c>
      <c r="D451">
        <v>375.69299999999998</v>
      </c>
    </row>
    <row r="452" spans="1:4" x14ac:dyDescent="0.3">
      <c r="A452" t="s">
        <v>1529</v>
      </c>
      <c r="B452" t="s">
        <v>1595</v>
      </c>
      <c r="C452" t="s">
        <v>273</v>
      </c>
      <c r="D452">
        <v>193.15555555555557</v>
      </c>
    </row>
    <row r="453" spans="1:4" x14ac:dyDescent="0.3">
      <c r="A453" t="s">
        <v>1234</v>
      </c>
      <c r="B453" t="s">
        <v>1235</v>
      </c>
      <c r="C453" t="s">
        <v>198</v>
      </c>
      <c r="D453">
        <v>42.917999999999999</v>
      </c>
    </row>
    <row r="454" spans="1:4" x14ac:dyDescent="0.3">
      <c r="A454" t="s">
        <v>1236</v>
      </c>
      <c r="B454" t="s">
        <v>1237</v>
      </c>
      <c r="C454" t="s">
        <v>311</v>
      </c>
      <c r="D454">
        <v>3.2450000000000001</v>
      </c>
    </row>
    <row r="455" spans="1:4" x14ac:dyDescent="0.3">
      <c r="A455" t="s">
        <v>1238</v>
      </c>
      <c r="B455" t="s">
        <v>1239</v>
      </c>
      <c r="C455" t="s">
        <v>198</v>
      </c>
      <c r="D455">
        <v>72.998000000000005</v>
      </c>
    </row>
    <row r="456" spans="1:4" x14ac:dyDescent="0.3">
      <c r="A456" t="s">
        <v>1240</v>
      </c>
      <c r="B456" t="s">
        <v>1241</v>
      </c>
      <c r="C456" t="s">
        <v>405</v>
      </c>
      <c r="D456">
        <v>26.466999999999999</v>
      </c>
    </row>
    <row r="457" spans="1:4" x14ac:dyDescent="0.3">
      <c r="A457" t="s">
        <v>1242</v>
      </c>
      <c r="B457" t="s">
        <v>1243</v>
      </c>
      <c r="C457" t="s">
        <v>442</v>
      </c>
      <c r="D457">
        <v>2.2909999999999999</v>
      </c>
    </row>
    <row r="458" spans="1:4" x14ac:dyDescent="0.3">
      <c r="A458" t="s">
        <v>1244</v>
      </c>
      <c r="B458" t="s">
        <v>1245</v>
      </c>
      <c r="C458" t="s">
        <v>200</v>
      </c>
      <c r="D458">
        <v>43.4</v>
      </c>
    </row>
    <row r="459" spans="1:4" x14ac:dyDescent="0.3">
      <c r="A459" t="s">
        <v>1246</v>
      </c>
      <c r="B459" t="s">
        <v>1247</v>
      </c>
      <c r="C459" t="s">
        <v>1248</v>
      </c>
      <c r="D459">
        <v>31.486000000000001</v>
      </c>
    </row>
    <row r="460" spans="1:4" x14ac:dyDescent="0.3">
      <c r="A460" t="s">
        <v>1249</v>
      </c>
      <c r="B460" t="s">
        <v>1250</v>
      </c>
      <c r="C460" t="s">
        <v>1251</v>
      </c>
      <c r="D460">
        <v>211.20400000000001</v>
      </c>
    </row>
    <row r="461" spans="1:4" x14ac:dyDescent="0.3">
      <c r="A461" t="s">
        <v>1252</v>
      </c>
      <c r="B461" t="s">
        <v>1253</v>
      </c>
      <c r="C461" t="s">
        <v>198</v>
      </c>
      <c r="D461">
        <v>26.631</v>
      </c>
    </row>
    <row r="462" spans="1:4" x14ac:dyDescent="0.3">
      <c r="A462" t="s">
        <v>1254</v>
      </c>
      <c r="B462" t="s">
        <v>1255</v>
      </c>
      <c r="C462" t="s">
        <v>209</v>
      </c>
      <c r="D462">
        <v>3286.0329999999999</v>
      </c>
    </row>
    <row r="463" spans="1:4" x14ac:dyDescent="0.3">
      <c r="A463" t="s">
        <v>1256</v>
      </c>
      <c r="B463" t="s">
        <v>1257</v>
      </c>
      <c r="C463" t="s">
        <v>209</v>
      </c>
      <c r="D463">
        <v>28976.678</v>
      </c>
    </row>
    <row r="464" spans="1:4" x14ac:dyDescent="0.3">
      <c r="A464" t="s">
        <v>1258</v>
      </c>
      <c r="B464" t="s">
        <v>1259</v>
      </c>
      <c r="C464" t="s">
        <v>198</v>
      </c>
      <c r="D464">
        <v>146.68600000000001</v>
      </c>
    </row>
    <row r="465" spans="1:4" x14ac:dyDescent="0.3">
      <c r="A465" t="s">
        <v>1545</v>
      </c>
      <c r="B465" t="s">
        <v>1818</v>
      </c>
      <c r="C465" t="s">
        <v>199</v>
      </c>
      <c r="D465">
        <v>292.47800000000001</v>
      </c>
    </row>
    <row r="466" spans="1:4" x14ac:dyDescent="0.3">
      <c r="A466" t="s">
        <v>1260</v>
      </c>
      <c r="B466" t="s">
        <v>1261</v>
      </c>
      <c r="C466" t="s">
        <v>209</v>
      </c>
      <c r="D466">
        <v>1193.001</v>
      </c>
    </row>
    <row r="467" spans="1:4" x14ac:dyDescent="0.3">
      <c r="A467" t="s">
        <v>193</v>
      </c>
      <c r="B467" t="s">
        <v>1262</v>
      </c>
      <c r="C467" t="s">
        <v>200</v>
      </c>
      <c r="D467">
        <v>0.29099999999999998</v>
      </c>
    </row>
    <row r="468" spans="1:4" x14ac:dyDescent="0.3">
      <c r="A468" t="s">
        <v>1263</v>
      </c>
      <c r="B468" t="s">
        <v>1262</v>
      </c>
      <c r="C468" t="s">
        <v>209</v>
      </c>
      <c r="D468">
        <v>2.9119999999999999</v>
      </c>
    </row>
    <row r="469" spans="1:4" x14ac:dyDescent="0.3">
      <c r="A469" t="s">
        <v>1264</v>
      </c>
      <c r="B469" t="s">
        <v>1265</v>
      </c>
      <c r="C469" t="s">
        <v>209</v>
      </c>
      <c r="D469">
        <v>151.91399999999999</v>
      </c>
    </row>
    <row r="470" spans="1:4" x14ac:dyDescent="0.3">
      <c r="A470" t="s">
        <v>1268</v>
      </c>
      <c r="B470" t="s">
        <v>1269</v>
      </c>
      <c r="C470" t="s">
        <v>396</v>
      </c>
      <c r="D470">
        <v>0.19600000000000001</v>
      </c>
    </row>
    <row r="471" spans="1:4" x14ac:dyDescent="0.3">
      <c r="A471" t="s">
        <v>1270</v>
      </c>
      <c r="B471" t="s">
        <v>1271</v>
      </c>
      <c r="C471" t="s">
        <v>198</v>
      </c>
      <c r="D471">
        <v>11.034000000000001</v>
      </c>
    </row>
    <row r="472" spans="1:4" x14ac:dyDescent="0.3">
      <c r="A472" t="s">
        <v>1272</v>
      </c>
      <c r="B472" t="s">
        <v>1273</v>
      </c>
      <c r="C472" t="s">
        <v>1274</v>
      </c>
      <c r="D472">
        <v>14342.07</v>
      </c>
    </row>
    <row r="473" spans="1:4" x14ac:dyDescent="0.3">
      <c r="A473" t="s">
        <v>1275</v>
      </c>
      <c r="B473" t="s">
        <v>1276</v>
      </c>
      <c r="C473" t="s">
        <v>198</v>
      </c>
      <c r="D473">
        <v>0.123</v>
      </c>
    </row>
    <row r="474" spans="1:4" x14ac:dyDescent="0.3">
      <c r="A474" t="s">
        <v>1277</v>
      </c>
      <c r="B474" t="s">
        <v>1278</v>
      </c>
      <c r="C474" t="s">
        <v>199</v>
      </c>
      <c r="D474">
        <v>1977.979</v>
      </c>
    </row>
    <row r="475" spans="1:4" x14ac:dyDescent="0.3">
      <c r="A475" t="s">
        <v>1279</v>
      </c>
      <c r="B475" t="s">
        <v>1280</v>
      </c>
      <c r="C475" t="s">
        <v>198</v>
      </c>
      <c r="D475">
        <v>47.866</v>
      </c>
    </row>
    <row r="476" spans="1:4" x14ac:dyDescent="0.3">
      <c r="A476" t="s">
        <v>1281</v>
      </c>
      <c r="B476" t="s">
        <v>1282</v>
      </c>
      <c r="C476" t="s">
        <v>200</v>
      </c>
      <c r="D476">
        <v>140.81100000000001</v>
      </c>
    </row>
    <row r="477" spans="1:4" x14ac:dyDescent="0.3">
      <c r="A477" t="s">
        <v>1283</v>
      </c>
      <c r="B477" t="s">
        <v>1284</v>
      </c>
      <c r="C477" t="s">
        <v>199</v>
      </c>
      <c r="D477">
        <v>49.95</v>
      </c>
    </row>
    <row r="478" spans="1:4" x14ac:dyDescent="0.3">
      <c r="A478" t="s">
        <v>1285</v>
      </c>
      <c r="B478" t="s">
        <v>1286</v>
      </c>
      <c r="C478" t="s">
        <v>200</v>
      </c>
      <c r="D478">
        <v>32.040999999999997</v>
      </c>
    </row>
    <row r="479" spans="1:4" x14ac:dyDescent="0.3">
      <c r="A479" t="s">
        <v>1287</v>
      </c>
      <c r="B479" t="s">
        <v>1288</v>
      </c>
      <c r="C479" t="s">
        <v>198</v>
      </c>
      <c r="D479">
        <v>5.3689999999999998</v>
      </c>
    </row>
    <row r="480" spans="1:4" x14ac:dyDescent="0.3">
      <c r="A480" t="s">
        <v>1289</v>
      </c>
      <c r="B480" t="s">
        <v>1290</v>
      </c>
      <c r="C480" t="s">
        <v>198</v>
      </c>
      <c r="D480">
        <v>26.786999999999999</v>
      </c>
    </row>
    <row r="481" spans="1:4" x14ac:dyDescent="0.3">
      <c r="A481" t="s">
        <v>1291</v>
      </c>
      <c r="B481" t="s">
        <v>1292</v>
      </c>
      <c r="C481" t="s">
        <v>199</v>
      </c>
      <c r="D481">
        <v>60.639000000000003</v>
      </c>
    </row>
    <row r="482" spans="1:4" x14ac:dyDescent="0.3">
      <c r="A482" t="s">
        <v>1293</v>
      </c>
      <c r="B482" t="s">
        <v>1294</v>
      </c>
      <c r="C482" t="s">
        <v>199</v>
      </c>
      <c r="D482">
        <v>56.468000000000004</v>
      </c>
    </row>
    <row r="483" spans="1:4" x14ac:dyDescent="0.3">
      <c r="A483" t="s">
        <v>1295</v>
      </c>
      <c r="B483" t="s">
        <v>1296</v>
      </c>
      <c r="C483" t="s">
        <v>199</v>
      </c>
      <c r="D483">
        <v>111.39</v>
      </c>
    </row>
    <row r="484" spans="1:4" x14ac:dyDescent="0.3">
      <c r="A484" t="s">
        <v>1297</v>
      </c>
      <c r="B484" t="s">
        <v>1298</v>
      </c>
      <c r="C484" t="s">
        <v>199</v>
      </c>
      <c r="D484">
        <v>66.308999999999997</v>
      </c>
    </row>
    <row r="485" spans="1:4" x14ac:dyDescent="0.3">
      <c r="A485" t="s">
        <v>1299</v>
      </c>
      <c r="B485" t="s">
        <v>1300</v>
      </c>
      <c r="C485" t="s">
        <v>198</v>
      </c>
      <c r="D485">
        <v>11.433</v>
      </c>
    </row>
    <row r="486" spans="1:4" x14ac:dyDescent="0.3">
      <c r="A486" t="s">
        <v>1301</v>
      </c>
      <c r="B486" t="s">
        <v>1302</v>
      </c>
      <c r="C486" t="s">
        <v>198</v>
      </c>
      <c r="D486">
        <v>257.10700000000003</v>
      </c>
    </row>
    <row r="487" spans="1:4" x14ac:dyDescent="0.3">
      <c r="A487" t="s">
        <v>1303</v>
      </c>
      <c r="B487" t="s">
        <v>1304</v>
      </c>
      <c r="C487" t="s">
        <v>200</v>
      </c>
      <c r="D487">
        <v>57.033000000000001</v>
      </c>
    </row>
    <row r="488" spans="1:4" x14ac:dyDescent="0.3">
      <c r="A488" t="s">
        <v>2415</v>
      </c>
      <c r="B488" t="s">
        <v>2416</v>
      </c>
      <c r="C488" t="s">
        <v>257</v>
      </c>
      <c r="D488">
        <v>877.83299999999997</v>
      </c>
    </row>
    <row r="489" spans="1:4" x14ac:dyDescent="0.3">
      <c r="A489" t="s">
        <v>1310</v>
      </c>
      <c r="B489" t="s">
        <v>1311</v>
      </c>
      <c r="C489" t="s">
        <v>198</v>
      </c>
      <c r="D489">
        <v>329.20600000000002</v>
      </c>
    </row>
    <row r="490" spans="1:4" x14ac:dyDescent="0.3">
      <c r="A490" t="s">
        <v>1312</v>
      </c>
      <c r="B490" t="s">
        <v>1313</v>
      </c>
      <c r="C490" t="s">
        <v>405</v>
      </c>
      <c r="D490">
        <v>336.70299999999997</v>
      </c>
    </row>
    <row r="491" spans="1:4" x14ac:dyDescent="0.3">
      <c r="A491" t="s">
        <v>1314</v>
      </c>
      <c r="B491" t="s">
        <v>1315</v>
      </c>
      <c r="C491" t="s">
        <v>1316</v>
      </c>
      <c r="D491">
        <v>48.268000000000001</v>
      </c>
    </row>
    <row r="492" spans="1:4" x14ac:dyDescent="0.3">
      <c r="A492" t="s">
        <v>1317</v>
      </c>
      <c r="B492" t="s">
        <v>1318</v>
      </c>
      <c r="C492" t="s">
        <v>198</v>
      </c>
      <c r="D492">
        <v>9.56</v>
      </c>
    </row>
    <row r="493" spans="1:4" x14ac:dyDescent="0.3">
      <c r="A493" t="s">
        <v>1319</v>
      </c>
      <c r="B493" t="s">
        <v>1320</v>
      </c>
      <c r="C493" t="s">
        <v>198</v>
      </c>
      <c r="D493">
        <v>71.692999999999998</v>
      </c>
    </row>
    <row r="494" spans="1:4" x14ac:dyDescent="0.3">
      <c r="A494" t="s">
        <v>1323</v>
      </c>
      <c r="B494" t="s">
        <v>1324</v>
      </c>
      <c r="C494" t="s">
        <v>273</v>
      </c>
      <c r="D494">
        <v>1.1539999999999999</v>
      </c>
    </row>
    <row r="495" spans="1:4" x14ac:dyDescent="0.3">
      <c r="A495" t="s">
        <v>1325</v>
      </c>
      <c r="B495" t="s">
        <v>1326</v>
      </c>
      <c r="C495" t="s">
        <v>273</v>
      </c>
      <c r="D495">
        <v>290.64</v>
      </c>
    </row>
    <row r="496" spans="1:4" x14ac:dyDescent="0.3">
      <c r="A496" t="s">
        <v>1327</v>
      </c>
      <c r="B496" t="s">
        <v>1328</v>
      </c>
      <c r="C496" t="s">
        <v>198</v>
      </c>
      <c r="D496">
        <v>30.206</v>
      </c>
    </row>
    <row r="497" spans="1:4" x14ac:dyDescent="0.3">
      <c r="A497" t="s">
        <v>1329</v>
      </c>
      <c r="B497" t="s">
        <v>1819</v>
      </c>
      <c r="C497" t="s">
        <v>199</v>
      </c>
      <c r="D497">
        <v>100.652</v>
      </c>
    </row>
    <row r="498" spans="1:4" x14ac:dyDescent="0.3">
      <c r="A498" t="s">
        <v>1333</v>
      </c>
      <c r="B498" t="s">
        <v>1334</v>
      </c>
      <c r="C498" t="s">
        <v>442</v>
      </c>
      <c r="D498">
        <v>1198.32</v>
      </c>
    </row>
    <row r="499" spans="1:4" x14ac:dyDescent="0.3">
      <c r="A499" t="s">
        <v>1335</v>
      </c>
      <c r="B499" t="s">
        <v>1336</v>
      </c>
      <c r="C499" t="s">
        <v>198</v>
      </c>
      <c r="D499">
        <v>3.407</v>
      </c>
    </row>
    <row r="500" spans="1:4" x14ac:dyDescent="0.3">
      <c r="A500" t="s">
        <v>1337</v>
      </c>
      <c r="B500" t="s">
        <v>1338</v>
      </c>
      <c r="C500" t="s">
        <v>198</v>
      </c>
      <c r="D500">
        <v>4.7670000000000003</v>
      </c>
    </row>
    <row r="501" spans="1:4" x14ac:dyDescent="0.3">
      <c r="A501" t="s">
        <v>1339</v>
      </c>
      <c r="B501" t="s">
        <v>1340</v>
      </c>
      <c r="C501" t="s">
        <v>198</v>
      </c>
      <c r="D501">
        <v>2701.777</v>
      </c>
    </row>
    <row r="502" spans="1:4" x14ac:dyDescent="0.3">
      <c r="A502" t="s">
        <v>1341</v>
      </c>
      <c r="B502" t="s">
        <v>1342</v>
      </c>
      <c r="C502" t="s">
        <v>199</v>
      </c>
      <c r="D502">
        <v>9.8789999999999996</v>
      </c>
    </row>
    <row r="503" spans="1:4" x14ac:dyDescent="0.3">
      <c r="A503" t="s">
        <v>1343</v>
      </c>
      <c r="B503" t="s">
        <v>1344</v>
      </c>
      <c r="C503" t="s">
        <v>553</v>
      </c>
      <c r="D503">
        <v>96.875</v>
      </c>
    </row>
    <row r="504" spans="1:4" x14ac:dyDescent="0.3">
      <c r="A504" t="s">
        <v>1345</v>
      </c>
      <c r="B504" t="s">
        <v>1346</v>
      </c>
      <c r="C504" t="s">
        <v>198</v>
      </c>
      <c r="D504">
        <v>8.0969999999999995</v>
      </c>
    </row>
    <row r="505" spans="1:4" x14ac:dyDescent="0.3">
      <c r="A505" t="s">
        <v>1347</v>
      </c>
      <c r="B505" t="s">
        <v>1348</v>
      </c>
      <c r="C505" t="s">
        <v>522</v>
      </c>
      <c r="D505">
        <v>11.798999999999999</v>
      </c>
    </row>
    <row r="506" spans="1:4" x14ac:dyDescent="0.3">
      <c r="A506" t="s">
        <v>1349</v>
      </c>
      <c r="B506" t="s">
        <v>1350</v>
      </c>
      <c r="C506" t="s">
        <v>951</v>
      </c>
      <c r="D506">
        <v>54.72</v>
      </c>
    </row>
    <row r="507" spans="1:4" x14ac:dyDescent="0.3">
      <c r="A507" t="s">
        <v>1351</v>
      </c>
      <c r="B507" t="s">
        <v>1352</v>
      </c>
      <c r="C507" t="s">
        <v>1353</v>
      </c>
      <c r="D507">
        <v>22.488399999999999</v>
      </c>
    </row>
    <row r="508" spans="1:4" x14ac:dyDescent="0.3">
      <c r="A508" t="s">
        <v>1354</v>
      </c>
      <c r="B508" t="s">
        <v>1355</v>
      </c>
      <c r="C508" t="s">
        <v>522</v>
      </c>
      <c r="D508">
        <v>53.438000000000002</v>
      </c>
    </row>
    <row r="509" spans="1:4" x14ac:dyDescent="0.3">
      <c r="A509" t="s">
        <v>1356</v>
      </c>
      <c r="B509" t="s">
        <v>1357</v>
      </c>
      <c r="C509" t="s">
        <v>198</v>
      </c>
      <c r="D509">
        <v>0.92900000000000005</v>
      </c>
    </row>
    <row r="510" spans="1:4" x14ac:dyDescent="0.3">
      <c r="A510" t="s">
        <v>1358</v>
      </c>
      <c r="B510" t="s">
        <v>1359</v>
      </c>
      <c r="C510" t="s">
        <v>198</v>
      </c>
      <c r="D510">
        <v>0.92900000000000005</v>
      </c>
    </row>
    <row r="511" spans="1:4" x14ac:dyDescent="0.3">
      <c r="A511" t="s">
        <v>1360</v>
      </c>
      <c r="B511" t="s">
        <v>1361</v>
      </c>
      <c r="C511" t="s">
        <v>198</v>
      </c>
      <c r="D511">
        <v>2.9000000000000001E-2</v>
      </c>
    </row>
    <row r="512" spans="1:4" x14ac:dyDescent="0.3">
      <c r="A512" t="s">
        <v>1362</v>
      </c>
      <c r="B512" t="s">
        <v>1363</v>
      </c>
      <c r="C512" t="s">
        <v>209</v>
      </c>
      <c r="D512">
        <v>0.26600000000000001</v>
      </c>
    </row>
    <row r="513" spans="1:4" x14ac:dyDescent="0.3">
      <c r="A513" t="s">
        <v>1364</v>
      </c>
      <c r="B513" t="s">
        <v>1365</v>
      </c>
      <c r="C513" t="s">
        <v>200</v>
      </c>
      <c r="D513">
        <v>4.1000000000000002E-2</v>
      </c>
    </row>
    <row r="514" spans="1:4" x14ac:dyDescent="0.3">
      <c r="A514" t="s">
        <v>1366</v>
      </c>
      <c r="B514" t="s">
        <v>1367</v>
      </c>
      <c r="C514" t="s">
        <v>198</v>
      </c>
      <c r="D514">
        <v>2</v>
      </c>
    </row>
    <row r="515" spans="1:4" x14ac:dyDescent="0.3">
      <c r="A515" t="s">
        <v>1368</v>
      </c>
      <c r="B515" t="s">
        <v>1369</v>
      </c>
      <c r="C515" t="s">
        <v>1134</v>
      </c>
      <c r="D515">
        <v>2.3380000000000001</v>
      </c>
    </row>
    <row r="516" spans="1:4" x14ac:dyDescent="0.3">
      <c r="A516" t="s">
        <v>1370</v>
      </c>
      <c r="B516" t="s">
        <v>1371</v>
      </c>
      <c r="C516" t="s">
        <v>848</v>
      </c>
      <c r="D516">
        <v>2.3E-2</v>
      </c>
    </row>
    <row r="517" spans="1:4" x14ac:dyDescent="0.3">
      <c r="A517" t="s">
        <v>1372</v>
      </c>
      <c r="B517" t="s">
        <v>1373</v>
      </c>
      <c r="C517" t="s">
        <v>214</v>
      </c>
      <c r="D517">
        <v>17.684999999999999</v>
      </c>
    </row>
    <row r="518" spans="1:4" x14ac:dyDescent="0.3">
      <c r="A518" t="s">
        <v>2417</v>
      </c>
      <c r="B518" t="s">
        <v>2418</v>
      </c>
      <c r="C518" t="s">
        <v>216</v>
      </c>
      <c r="D518">
        <v>17.684999999999999</v>
      </c>
    </row>
    <row r="519" spans="1:4" x14ac:dyDescent="0.3">
      <c r="A519" t="s">
        <v>1374</v>
      </c>
      <c r="B519" t="s">
        <v>1375</v>
      </c>
      <c r="C519" t="s">
        <v>1376</v>
      </c>
      <c r="D519">
        <v>39924.057999999997</v>
      </c>
    </row>
    <row r="520" spans="1:4" x14ac:dyDescent="0.3">
      <c r="A520" t="s">
        <v>191</v>
      </c>
      <c r="B520" t="s">
        <v>1377</v>
      </c>
      <c r="C520" t="s">
        <v>199</v>
      </c>
      <c r="D520">
        <v>385.767</v>
      </c>
    </row>
    <row r="521" spans="1:4" x14ac:dyDescent="0.3">
      <c r="A521" t="s">
        <v>1378</v>
      </c>
      <c r="B521" t="s">
        <v>1379</v>
      </c>
      <c r="C521" t="s">
        <v>452</v>
      </c>
      <c r="D521">
        <v>50.173000000000002</v>
      </c>
    </row>
    <row r="522" spans="1:4" x14ac:dyDescent="0.3">
      <c r="A522" t="s">
        <v>1380</v>
      </c>
      <c r="B522" t="s">
        <v>1381</v>
      </c>
      <c r="C522" t="s">
        <v>1382</v>
      </c>
      <c r="D522">
        <v>130.25</v>
      </c>
    </row>
    <row r="523" spans="1:4" x14ac:dyDescent="0.3">
      <c r="A523" t="s">
        <v>1383</v>
      </c>
      <c r="B523" t="s">
        <v>1384</v>
      </c>
      <c r="C523" t="s">
        <v>360</v>
      </c>
      <c r="D523">
        <v>1.2130000000000001</v>
      </c>
    </row>
    <row r="524" spans="1:4" x14ac:dyDescent="0.3">
      <c r="A524" t="s">
        <v>1385</v>
      </c>
      <c r="B524" t="s">
        <v>1386</v>
      </c>
      <c r="C524" t="s">
        <v>1042</v>
      </c>
      <c r="D524">
        <v>30.893999999999998</v>
      </c>
    </row>
    <row r="525" spans="1:4" x14ac:dyDescent="0.3">
      <c r="A525" t="s">
        <v>1387</v>
      </c>
      <c r="B525" t="s">
        <v>1388</v>
      </c>
      <c r="C525" t="s">
        <v>1042</v>
      </c>
      <c r="D525">
        <v>11.007999999999999</v>
      </c>
    </row>
    <row r="526" spans="1:4" x14ac:dyDescent="0.3">
      <c r="A526" t="s">
        <v>1389</v>
      </c>
      <c r="B526" t="s">
        <v>1390</v>
      </c>
      <c r="C526" t="s">
        <v>1042</v>
      </c>
      <c r="D526">
        <v>33.11</v>
      </c>
    </row>
    <row r="527" spans="1:4" x14ac:dyDescent="0.3">
      <c r="A527" t="s">
        <v>1391</v>
      </c>
      <c r="B527" t="s">
        <v>1392</v>
      </c>
      <c r="C527" t="s">
        <v>1042</v>
      </c>
      <c r="D527">
        <v>96.843000000000004</v>
      </c>
    </row>
    <row r="528" spans="1:4" x14ac:dyDescent="0.3">
      <c r="A528" t="s">
        <v>1395</v>
      </c>
      <c r="B528" t="s">
        <v>1396</v>
      </c>
      <c r="C528" t="s">
        <v>1042</v>
      </c>
      <c r="D528">
        <v>7.3</v>
      </c>
    </row>
    <row r="529" spans="1:4" x14ac:dyDescent="0.3">
      <c r="A529" t="s">
        <v>1397</v>
      </c>
      <c r="B529" t="s">
        <v>1398</v>
      </c>
      <c r="C529" t="s">
        <v>574</v>
      </c>
      <c r="D529">
        <v>188.512</v>
      </c>
    </row>
    <row r="530" spans="1:4" x14ac:dyDescent="0.3">
      <c r="A530" t="s">
        <v>1399</v>
      </c>
      <c r="B530" t="s">
        <v>1400</v>
      </c>
      <c r="C530" t="s">
        <v>574</v>
      </c>
      <c r="D530">
        <v>188.512</v>
      </c>
    </row>
    <row r="531" spans="1:4" x14ac:dyDescent="0.3">
      <c r="A531" t="s">
        <v>1401</v>
      </c>
      <c r="B531" t="s">
        <v>1402</v>
      </c>
      <c r="C531" t="s">
        <v>1042</v>
      </c>
      <c r="D531">
        <v>9.7780000000000005</v>
      </c>
    </row>
    <row r="532" spans="1:4" x14ac:dyDescent="0.3">
      <c r="A532" t="s">
        <v>2419</v>
      </c>
      <c r="B532" t="s">
        <v>2420</v>
      </c>
      <c r="C532" t="s">
        <v>1042</v>
      </c>
      <c r="D532">
        <v>31.03</v>
      </c>
    </row>
    <row r="533" spans="1:4" x14ac:dyDescent="0.3">
      <c r="A533" t="s">
        <v>1403</v>
      </c>
      <c r="B533" t="s">
        <v>1404</v>
      </c>
      <c r="C533" t="s">
        <v>1042</v>
      </c>
      <c r="D533">
        <v>43.947000000000003</v>
      </c>
    </row>
    <row r="534" spans="1:4" x14ac:dyDescent="0.3">
      <c r="A534" t="s">
        <v>2297</v>
      </c>
      <c r="B534" t="s">
        <v>1402</v>
      </c>
      <c r="C534" t="s">
        <v>1042</v>
      </c>
      <c r="D534">
        <v>27.395</v>
      </c>
    </row>
    <row r="535" spans="1:4" x14ac:dyDescent="0.3">
      <c r="A535" t="s">
        <v>2421</v>
      </c>
      <c r="B535" t="s">
        <v>2422</v>
      </c>
      <c r="C535" t="s">
        <v>1042</v>
      </c>
      <c r="D535">
        <v>165.01300000000001</v>
      </c>
    </row>
    <row r="536" spans="1:4" x14ac:dyDescent="0.3">
      <c r="A536" t="s">
        <v>1405</v>
      </c>
      <c r="B536" t="s">
        <v>1406</v>
      </c>
      <c r="C536" t="s">
        <v>1042</v>
      </c>
      <c r="D536">
        <v>139.446</v>
      </c>
    </row>
    <row r="537" spans="1:4" x14ac:dyDescent="0.3">
      <c r="A537" t="s">
        <v>1407</v>
      </c>
      <c r="B537" t="s">
        <v>2623</v>
      </c>
      <c r="C537" t="s">
        <v>1042</v>
      </c>
      <c r="D537">
        <v>134.28399999999999</v>
      </c>
    </row>
    <row r="538" spans="1:4" x14ac:dyDescent="0.3">
      <c r="A538" t="s">
        <v>1429</v>
      </c>
      <c r="B538" t="s">
        <v>2425</v>
      </c>
      <c r="C538" t="s">
        <v>452</v>
      </c>
      <c r="D538">
        <v>0.69299999999999995</v>
      </c>
    </row>
    <row r="539" spans="1:4" x14ac:dyDescent="0.3">
      <c r="A539" t="s">
        <v>2426</v>
      </c>
      <c r="B539" t="s">
        <v>2427</v>
      </c>
      <c r="C539" t="s">
        <v>199</v>
      </c>
      <c r="D539">
        <v>75.518000000000001</v>
      </c>
    </row>
    <row r="540" spans="1:4" x14ac:dyDescent="0.3">
      <c r="A540" t="s">
        <v>1445</v>
      </c>
      <c r="B540" t="s">
        <v>1446</v>
      </c>
      <c r="C540" t="s">
        <v>204</v>
      </c>
      <c r="D540">
        <v>21.038</v>
      </c>
    </row>
    <row r="541" spans="1:4" x14ac:dyDescent="0.3">
      <c r="A541" t="s">
        <v>1447</v>
      </c>
      <c r="B541" t="s">
        <v>1448</v>
      </c>
      <c r="C541" t="s">
        <v>204</v>
      </c>
      <c r="D541">
        <v>33.652000000000001</v>
      </c>
    </row>
    <row r="542" spans="1:4" x14ac:dyDescent="0.3">
      <c r="A542" t="s">
        <v>1449</v>
      </c>
      <c r="B542" t="s">
        <v>1450</v>
      </c>
      <c r="C542" t="s">
        <v>204</v>
      </c>
      <c r="D542">
        <v>50.478999999999999</v>
      </c>
    </row>
    <row r="543" spans="1:4" x14ac:dyDescent="0.3">
      <c r="A543" t="s">
        <v>1451</v>
      </c>
      <c r="B543" t="s">
        <v>1452</v>
      </c>
      <c r="C543" t="s">
        <v>204</v>
      </c>
      <c r="D543">
        <v>6.7000000000000004E-2</v>
      </c>
    </row>
    <row r="544" spans="1:4" x14ac:dyDescent="0.3">
      <c r="A544" t="s">
        <v>1610</v>
      </c>
      <c r="B544" t="s">
        <v>1611</v>
      </c>
      <c r="C544" t="s">
        <v>204</v>
      </c>
      <c r="D544">
        <v>0.28000000000000003</v>
      </c>
    </row>
    <row r="545" spans="1:4" x14ac:dyDescent="0.3">
      <c r="A545" t="s">
        <v>1612</v>
      </c>
      <c r="B545" t="s">
        <v>1613</v>
      </c>
      <c r="C545" t="s">
        <v>204</v>
      </c>
      <c r="D545">
        <v>0.29499999999999998</v>
      </c>
    </row>
    <row r="546" spans="1:4" x14ac:dyDescent="0.3">
      <c r="A546" t="s">
        <v>1453</v>
      </c>
      <c r="B546" t="s">
        <v>1454</v>
      </c>
      <c r="C546" t="s">
        <v>204</v>
      </c>
      <c r="D546">
        <v>0.20499999999999999</v>
      </c>
    </row>
    <row r="547" spans="1:4" x14ac:dyDescent="0.3">
      <c r="A547" t="s">
        <v>1455</v>
      </c>
      <c r="B547" t="s">
        <v>1456</v>
      </c>
      <c r="C547" t="s">
        <v>204</v>
      </c>
      <c r="D547">
        <v>0.89200000000000002</v>
      </c>
    </row>
    <row r="548" spans="1:4" x14ac:dyDescent="0.3">
      <c r="A548" t="s">
        <v>1457</v>
      </c>
      <c r="B548" t="s">
        <v>1458</v>
      </c>
      <c r="C548" t="s">
        <v>204</v>
      </c>
      <c r="D548">
        <v>0.33800000000000002</v>
      </c>
    </row>
    <row r="549" spans="1:4" x14ac:dyDescent="0.3">
      <c r="A549" t="s">
        <v>1459</v>
      </c>
      <c r="B549" t="s">
        <v>1460</v>
      </c>
      <c r="C549" t="s">
        <v>204</v>
      </c>
      <c r="D549">
        <v>0.123</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Part B Drug Prices</vt:lpstr>
      <vt:lpstr>Part D Drug Prices</vt:lpstr>
      <vt:lpstr>Special Cases</vt:lpstr>
      <vt:lpstr>CAR-T therapies, etc</vt:lpstr>
      <vt:lpstr>ASP 2016Q1</vt:lpstr>
      <vt:lpstr>ASP 2016Q3</vt:lpstr>
      <vt:lpstr>ASP 2017Q1</vt:lpstr>
      <vt:lpstr>ASP 2017Q3</vt:lpstr>
      <vt:lpstr>ASP 2018Q1</vt:lpstr>
      <vt:lpstr>ASP 2018Q3</vt:lpstr>
      <vt:lpstr>ASP 2019Q1</vt:lpstr>
      <vt:lpstr>ASP 2019Q3</vt:lpstr>
      <vt:lpstr>ASP 2020Q1</vt:lpstr>
      <vt:lpstr>ASP 2020Q3</vt:lpstr>
      <vt:lpstr>ASP 2021Q1</vt:lpstr>
      <vt:lpstr>ASP 2021Q3</vt:lpstr>
      <vt:lpstr>ASP 2022Q1</vt:lpstr>
      <vt:lpstr>ASP 2022Q3</vt:lpstr>
      <vt:lpstr>ASP 2023Q1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2025-03-25T14:09:33Z</dcterms:modified>
</cp:coreProperties>
</file>